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SAjq041Krngq3lZMX2amFXP/55kv8tlimGxSN+PmCUmsGQUkqJ7JmCaE6+bbmLwoJgHiy32wkH19KS+YxJ/Vg==" workbookSaltValue="6KwVa3UKQL4pmq4IWAe/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EQ19" i="8"/>
  <c r="E11" i="12"/>
  <c r="EN19" i="8"/>
  <c r="BA13" i="16"/>
  <c r="N11" i="11"/>
  <c r="ES19" i="8"/>
  <c r="BM19" i="8"/>
  <c r="BK19" i="8"/>
  <c r="EP19" i="8"/>
  <c r="AL13" i="16"/>
  <c r="AJ13" i="16"/>
  <c r="S13" i="16"/>
  <c r="H18" i="16"/>
  <c r="BN18" i="16"/>
  <c r="P13" i="16"/>
  <c r="AM13" i="20"/>
  <c r="AN13" i="20"/>
  <c r="AT17" i="20"/>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D18" i="12"/>
  <c r="AM19" i="8"/>
  <c r="AC19" i="8"/>
  <c r="AK19" i="8"/>
  <c r="AA19" i="8"/>
  <c r="AI19" i="8"/>
  <c r="E12" i="3"/>
  <c r="BG10" i="8"/>
  <c r="K10" i="7" s="1"/>
  <c r="R19" i="8"/>
  <c r="T19" i="8"/>
  <c r="M13" i="2"/>
  <c r="H9" i="7"/>
  <c r="F17" i="17"/>
  <c r="AQ17" i="17" s="1"/>
  <c r="E12" i="6"/>
  <c r="BG9" i="8"/>
  <c r="K9" i="7" s="1"/>
  <c r="BE9" i="8"/>
  <c r="I9" i="7" s="1"/>
  <c r="BE12" i="8"/>
  <c r="I12" i="7" s="1"/>
  <c r="AY13" i="13"/>
  <c r="AP16" i="20"/>
  <c r="V15" i="11"/>
  <c r="BF17" i="11"/>
  <c r="S9" i="14"/>
  <c r="V9" i="14" s="1"/>
  <c r="R17" i="20"/>
  <c r="R18" i="20" s="1"/>
  <c r="BU10" i="17"/>
  <c r="BW11" i="20"/>
  <c r="BU12" i="17"/>
  <c r="AZ11" i="11"/>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BH15" i="11"/>
  <c r="Q17" i="20"/>
  <c r="Q18" i="20" s="1"/>
  <c r="S17" i="16"/>
  <c r="BK11" i="11"/>
  <c r="BI10" i="11"/>
  <c r="BJ15" i="11"/>
  <c r="BJ18" i="11" s="1"/>
  <c r="AP15" i="20"/>
  <c r="T17" i="16"/>
  <c r="BU11" i="17"/>
  <c r="BW12" i="20"/>
  <c r="BW10" i="20"/>
  <c r="AZ16"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BK13" i="11" s="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Y20" i="20"/>
  <c r="AE20" i="20"/>
  <c r="G13" i="14"/>
  <c r="AP20" i="20"/>
  <c r="T20" i="21"/>
  <c r="AL20" i="20"/>
  <c r="K10" i="12" l="1"/>
  <c r="K15" i="12"/>
  <c r="I12" i="12"/>
  <c r="K9" i="12"/>
  <c r="I15" i="7"/>
  <c r="AZ19" i="1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<sst xmlns="http://schemas.openxmlformats.org/spreadsheetml/2006/main" count="2080" uniqueCount="905">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</sst>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5mBozuWORxa0lRpCzUvYAQTwZXrUJvtyS/khvaHt31jOBOKHwADqEc3KKrfAECw8pOUE7NPM0LiPOViOhSspA==" saltValue="RG0afEyCAZJSyLVmvjlL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14.34369602763385</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45</v>
      </c>
      <c r="F10" s="229">
        <f>IF(ISNUMBER(Datos!K10),Datos!K10," - ")</f>
        <v>38</v>
      </c>
      <c r="G10" s="1037" t="str">
        <f>IF(Datos!E10&lt;&gt;"",Datos!E10,Datos!D10)</f>
        <v>37</v>
      </c>
      <c r="H10" s="230">
        <f>IF(ISNUMBER(Datos!L10),Datos!L10," - ")</f>
        <v>74</v>
      </c>
      <c r="I10" s="1047" t="str">
        <f>IF(ISNUMBER(Datos!AS10/Datos!BM10),Datos!AS10/Datos!BM10," - ")</f>
        <v xml:space="preserve"> - </v>
      </c>
      <c r="J10" s="1048">
        <f>IF(ISNUMBER(Datos!BY10/Datos!CN10),Datos!BY10/Datos!CN10," - ")</f>
        <v>0</v>
      </c>
      <c r="K10" s="233">
        <f t="shared" ref="K10:K12" si="1">IF(ISNUMBER((E10-F10)/C10),(E10-F10)/C10," - ")</f>
        <v>0.1044776119402985</v>
      </c>
      <c r="L10" s="1028">
        <f>IF(ISNUMBER(NºAsuntos!I10/NºAsuntos!G10),(NºAsuntos!I10/NºAsuntos!G10)*11," - ")</f>
        <v>21.421052631578949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45</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2123</v>
      </c>
      <c r="D15" s="228">
        <f>IF(ISNUMBER(IF(D_I="SI",Datos!I15,Datos!I15+Datos!AC15)),IF(D_I="SI",Datos!I15,Datos!I15+Datos!AC15)," - ")</f>
        <v>2105</v>
      </c>
      <c r="E15" s="229">
        <f>IF(ISNUMBER(IF(D_I="SI",Datos!J15,Datos!J15+Datos!AD15)),IF(D_I="SI",Datos!J15,Datos!J15+Datos!AD15)," - ")</f>
        <v>2140</v>
      </c>
      <c r="F15" s="229">
        <f>IF(ISNUMBER(IF(D_I="SI",Datos!K15,Datos!K15+Datos!AE15)),IF(D_I="SI",Datos!K15,Datos!K15+Datos!AE15)," - ")</f>
        <v>1887</v>
      </c>
      <c r="G15" s="1037" t="str">
        <f>IF(Datos!E15&lt;&gt;"",Datos!E15,Datos!D15)</f>
        <v>03</v>
      </c>
      <c r="H15" s="230">
        <f>IF(ISNUMBER(IF(D_I="SI",Datos!L15,Datos!L15+Datos!AF15)),IF(D_I="SI",Datos!L15,Datos!L15+Datos!AF15)," - ")</f>
        <v>2376</v>
      </c>
      <c r="I15" s="1047" t="str">
        <f>IF(ISNUMBER(Datos!AS15/Datos!BM15),Datos!AS15/Datos!BM15," - ")</f>
        <v xml:space="preserve"> - </v>
      </c>
      <c r="J15" s="1048">
        <f>IF(ISNUMBER(Datos!BY15/Datos!CN15),Datos!BY15/Datos!CN15," - ")</f>
        <v>0</v>
      </c>
      <c r="K15" s="233">
        <f t="shared" ref="K15:K17" si="3">IF(ISNUMBER((E15-F15)/C15),(E15-F15)/C15," - ")</f>
        <v>0.11917098445595854</v>
      </c>
      <c r="L15" s="1028">
        <f>IF(ISNUMBER(NºAsuntos!I15/NºAsuntos!G15),(NºAsuntos!I15/NºAsuntos!G15)*11," - ")</f>
        <v>13.850556438791733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14</v>
      </c>
      <c r="D16" s="228">
        <f>IF(ISNUMBER(IF(D_I="SI",Datos!I16,Datos!I16+Datos!AC16)),IF(D_I="SI",Datos!I16,Datos!I16+Datos!AC16)," - ")</f>
        <v>16</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14</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157</v>
      </c>
      <c r="D17" s="228">
        <f>IF(ISNUMBER(IF(D_I="SI",Datos!I17,Datos!I17+Datos!AC17)),IF(D_I="SI",Datos!I17,Datos!I17+Datos!AC17)," - ")</f>
        <v>154</v>
      </c>
      <c r="E17" s="229">
        <f>IF(ISNUMBER(IF(D_I="SI",Datos!J17,Datos!J17+Datos!AD17)),IF(D_I="SI",Datos!J17,Datos!J17+Datos!AD17)," - ")</f>
        <v>315</v>
      </c>
      <c r="F17" s="229">
        <f>IF(ISNUMBER(IF(D_I="SI",Datos!K17,Datos!K17+Datos!AE17)),IF(D_I="SI",Datos!K17,Datos!K17+Datos!AE17)," - ")</f>
        <v>307</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5.0955414012738856E-2</v>
      </c>
      <c r="L17" s="1028">
        <f>IF(ISNUMBER(NºAsuntos!I17/NºAsuntos!G17),(NºAsuntos!I17/NºAsuntos!G17)*11," - ")</f>
        <v>5.9120521172638441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2294</v>
      </c>
      <c r="D18" s="1052">
        <f>SUBTOTAL(9,D15:D17)</f>
        <v>2275</v>
      </c>
      <c r="E18" s="1053">
        <f>SUBTOTAL(9,E15:E17)</f>
        <v>2455</v>
      </c>
      <c r="F18" s="1053">
        <f>SUBTOTAL(9,F15:F17)</f>
        <v>2194</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2361</v>
      </c>
      <c r="D19" s="1074">
        <f>SUBTOTAL(9,D9:D18)</f>
        <v>2342</v>
      </c>
      <c r="E19" s="1075">
        <f>SUBTOTAL(9,E9:E18)</f>
        <v>2500</v>
      </c>
      <c r="F19" s="1075">
        <f>SUBTOTAL(9,F9:F18)</f>
        <v>2232</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5sXizdxo8H8qodacvKZscTLhr7tqItdisX4TPmdIsqh5oKmQhoDcyH3uj1zbOq4Ef9DqYe3ZhqFzgSEDWtqbEg==" saltValue="ZKW8L4gMVzgMarQIxIl/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XNEUgANjCY1WnbTwHf1ZNGVvdWoGkza2RVuqGYgux822d6xNetcErjFfoou/3cfq2tiA/cGT4Clq2oN1pWiag==" saltValue="9BEtFRh73ICfdqAMsayt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2485</v>
      </c>
      <c r="J9" s="184">
        <v>2543</v>
      </c>
      <c r="K9" s="184">
        <v>2101</v>
      </c>
      <c r="L9" s="184">
        <v>2927</v>
      </c>
      <c r="M9" s="184">
        <v>465</v>
      </c>
      <c r="N9" s="184">
        <v>922</v>
      </c>
      <c r="O9" s="184">
        <v>1206</v>
      </c>
      <c r="P9" s="184">
        <v>688</v>
      </c>
      <c r="Q9" s="184">
        <v>325</v>
      </c>
      <c r="R9" s="184">
        <v>9031</v>
      </c>
      <c r="S9" s="184">
        <v>2615</v>
      </c>
      <c r="T9" s="184">
        <v>1819</v>
      </c>
      <c r="U9" s="184">
        <v>1989</v>
      </c>
      <c r="V9" s="184">
        <v>2445</v>
      </c>
      <c r="W9" s="184">
        <v>516</v>
      </c>
      <c r="X9" s="191">
        <v>937</v>
      </c>
      <c r="Y9" s="194">
        <v>118</v>
      </c>
      <c r="Z9" s="184">
        <v>189</v>
      </c>
      <c r="AA9" s="184">
        <v>215</v>
      </c>
      <c r="AB9" s="184">
        <v>93</v>
      </c>
      <c r="AC9" s="184">
        <v>0</v>
      </c>
      <c r="AD9" s="184">
        <v>0</v>
      </c>
      <c r="AE9" s="184">
        <v>0</v>
      </c>
      <c r="AF9" s="191">
        <v>0</v>
      </c>
      <c r="AG9" s="194">
        <v>101</v>
      </c>
      <c r="AH9" s="184">
        <v>224</v>
      </c>
      <c r="AI9" s="184">
        <v>220</v>
      </c>
      <c r="AJ9" s="195">
        <v>105</v>
      </c>
      <c r="AK9" s="183">
        <v>0</v>
      </c>
      <c r="AL9" s="184">
        <v>0</v>
      </c>
      <c r="AM9" s="184">
        <v>0</v>
      </c>
      <c r="AN9" s="191">
        <v>0</v>
      </c>
      <c r="AO9" s="261">
        <v>6</v>
      </c>
      <c r="AP9" s="157">
        <v>6</v>
      </c>
      <c r="AQ9" s="157">
        <v>6</v>
      </c>
      <c r="AR9" s="196">
        <v>6</v>
      </c>
      <c r="AS9" s="341" t="s">
        <v>796</v>
      </c>
      <c r="AT9" s="198"/>
      <c r="AU9" s="197"/>
      <c r="AV9" s="198"/>
      <c r="AW9" s="197"/>
      <c r="AX9" s="198"/>
      <c r="AY9" s="123">
        <f>IF(ISNUMBER(IF(J_V="SI",S9,S9+AG9)),IF(J_V="SI",S9,S9+AG9)," - ")</f>
        <v>2716</v>
      </c>
      <c r="AZ9" s="123">
        <f>IF(ISNUMBER(IF(J_V="SI",T9,T9+AH9)),IF(J_V="SI",T9,T9+AH9)," - ")</f>
        <v>2043</v>
      </c>
      <c r="BA9" s="124">
        <f>IF(ISNUMBER(IF(J_V="SI",U9,U9+AI9)),IF(J_V="SI",U9,U9+AI9)," - ")</f>
        <v>2209</v>
      </c>
      <c r="BB9" s="124">
        <f>IF(ISNUMBER(IF(J_V="SI",V9,V9+AJ9)),IF(J_V="SI",V9,V9+AJ9)," - ")</f>
        <v>2550</v>
      </c>
      <c r="BC9" s="125">
        <f>IF(ISNUMBER(X9),X9," - ")</f>
        <v>937</v>
      </c>
      <c r="BD9" s="126">
        <f>IF(ISNUMBER(BA9/AZ9),BA9/AZ9," - ")</f>
        <v>1.0812530592266274</v>
      </c>
      <c r="BE9" s="127">
        <f>IF(ISNUMBER(BB9/BA9),BB9/BA9, " - ")</f>
        <v>1.1543684925305568</v>
      </c>
      <c r="BF9" s="127">
        <f>IF(ISNUMBER(BC9/BA9),BC9/BA9, " - ")</f>
        <v>0.42417383431416933</v>
      </c>
      <c r="BG9" s="199">
        <f>IF(ISNUMBER((AY9+AZ9)/BA9),(AY9+AZ9)/BA9," - ")</f>
        <v>2.1543684925305566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67</v>
      </c>
      <c r="J10" s="184">
        <v>45</v>
      </c>
      <c r="K10" s="184">
        <v>38</v>
      </c>
      <c r="L10" s="184">
        <v>74</v>
      </c>
      <c r="M10" s="184">
        <v>19</v>
      </c>
      <c r="N10" s="184">
        <v>16</v>
      </c>
      <c r="O10" s="184">
        <v>6</v>
      </c>
      <c r="P10" s="184">
        <v>5</v>
      </c>
      <c r="Q10" s="184">
        <v>3</v>
      </c>
      <c r="R10" s="184">
        <v>30</v>
      </c>
      <c r="S10" s="184">
        <v>91</v>
      </c>
      <c r="T10" s="184">
        <v>30</v>
      </c>
      <c r="U10" s="184">
        <v>24</v>
      </c>
      <c r="V10" s="184">
        <v>97</v>
      </c>
      <c r="W10" s="184">
        <v>6</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790</v>
      </c>
      <c r="AT10" s="195"/>
      <c r="AU10" s="203"/>
      <c r="AV10" s="195"/>
      <c r="AW10" s="203"/>
      <c r="AX10" s="195"/>
      <c r="AY10" s="128">
        <f t="shared" ref="AY10:BC10" si="0">IF(ISNUMBER(S10),S10," - ")</f>
        <v>91</v>
      </c>
      <c r="AZ10" s="129">
        <f t="shared" si="0"/>
        <v>30</v>
      </c>
      <c r="BA10" s="129">
        <f t="shared" si="0"/>
        <v>24</v>
      </c>
      <c r="BB10" s="129">
        <f t="shared" si="0"/>
        <v>97</v>
      </c>
      <c r="BC10" s="125">
        <f t="shared" si="0"/>
        <v>6</v>
      </c>
      <c r="BD10" s="126">
        <f>IF(ISNUMBER(BA10/AZ10),BA10/AZ10," - ")</f>
        <v>0.8</v>
      </c>
      <c r="BE10" s="127">
        <f>IF(ISNUMBER(BB10/BA10),BB10/BA10, " - ")</f>
        <v>4.041666666666667</v>
      </c>
      <c r="BF10" s="127">
        <f>IF(ISNUMBER(BC10/BA10),BC10/BA10, " - ")</f>
        <v>0.25</v>
      </c>
      <c r="BG10" s="199">
        <f>IF(ISNUMBER((AY10+AZ10)/BA10),(AY10+AZ10)/BA10," - ")</f>
        <v>5.041666666666667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2552</v>
      </c>
      <c r="J13" s="187">
        <f t="shared" si="6"/>
        <v>2588</v>
      </c>
      <c r="K13" s="187">
        <f t="shared" si="6"/>
        <v>2139</v>
      </c>
      <c r="L13" s="187">
        <f t="shared" si="6"/>
        <v>3001</v>
      </c>
      <c r="M13" s="187">
        <f t="shared" si="6"/>
        <v>484</v>
      </c>
      <c r="N13" s="187">
        <f t="shared" si="6"/>
        <v>938</v>
      </c>
      <c r="O13" s="187">
        <f t="shared" si="6"/>
        <v>1212</v>
      </c>
      <c r="P13" s="187">
        <f t="shared" si="6"/>
        <v>693</v>
      </c>
      <c r="Q13" s="187">
        <f t="shared" si="6"/>
        <v>328</v>
      </c>
      <c r="R13" s="187">
        <f t="shared" si="6"/>
        <v>9061</v>
      </c>
      <c r="S13" s="187">
        <f t="shared" si="6"/>
        <v>2706</v>
      </c>
      <c r="T13" s="187">
        <f t="shared" si="6"/>
        <v>1849</v>
      </c>
      <c r="U13" s="187">
        <f t="shared" si="6"/>
        <v>2013</v>
      </c>
      <c r="V13" s="187">
        <f t="shared" si="6"/>
        <v>2542</v>
      </c>
      <c r="W13" s="187">
        <f t="shared" si="6"/>
        <v>522</v>
      </c>
      <c r="X13" s="187">
        <f t="shared" si="6"/>
        <v>954</v>
      </c>
      <c r="Y13" s="187">
        <f t="shared" si="6"/>
        <v>118</v>
      </c>
      <c r="Z13" s="187">
        <f t="shared" si="6"/>
        <v>189</v>
      </c>
      <c r="AA13" s="187">
        <f t="shared" si="6"/>
        <v>215</v>
      </c>
      <c r="AB13" s="187">
        <f t="shared" si="6"/>
        <v>93</v>
      </c>
      <c r="AC13" s="187">
        <f t="shared" si="6"/>
        <v>0</v>
      </c>
      <c r="AD13" s="187">
        <f t="shared" si="6"/>
        <v>0</v>
      </c>
      <c r="AE13" s="187">
        <f t="shared" si="6"/>
        <v>0</v>
      </c>
      <c r="AF13" s="187">
        <f>SUBTOTAL(9,AF9:AF12)</f>
        <v>0</v>
      </c>
      <c r="AG13" s="187">
        <f t="shared" ref="AG13:AT13" si="7">SUBTOTAL(9,AG8:AG12)</f>
        <v>101</v>
      </c>
      <c r="AH13" s="187">
        <f t="shared" si="7"/>
        <v>224</v>
      </c>
      <c r="AI13" s="187">
        <f t="shared" si="7"/>
        <v>220</v>
      </c>
      <c r="AJ13" s="187">
        <f t="shared" si="7"/>
        <v>105</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2807</v>
      </c>
      <c r="AZ13" s="187">
        <f>SUBTOTAL(9,AZ8:AZ12)</f>
        <v>2073</v>
      </c>
      <c r="BA13" s="187">
        <f>SUBTOTAL(9,BA8:BA12)</f>
        <v>2233</v>
      </c>
      <c r="BB13" s="187">
        <f>SUBTOTAL(9,BB8:BB12)</f>
        <v>2647</v>
      </c>
      <c r="BC13" s="187">
        <f>SUBTOTAL(9,BC8:BC12)</f>
        <v>943</v>
      </c>
      <c r="BD13" s="208">
        <f>IF(ISNUMBER(BA13/AZ13),BA13/AZ13," - ")</f>
        <v>1.0771828268210324</v>
      </c>
      <c r="BE13" s="209">
        <f>IF(ISNUMBER(BB13/BA13),BB13/BA13, " - ")</f>
        <v>1.1854008060904613</v>
      </c>
      <c r="BF13" s="209">
        <f>IF(ISNUMBER(BC13/BA13),BC13/BA13, " - ")</f>
        <v>0.42230183609493954</v>
      </c>
      <c r="BG13" s="210">
        <f>IF(ISNUMBER((AY13+AZ13)/BA13),(AY13+AZ13)/BA13," - ")</f>
        <v>2.1854008060904611</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2105</v>
      </c>
      <c r="J15" s="186">
        <v>2140</v>
      </c>
      <c r="K15" s="186">
        <v>1887</v>
      </c>
      <c r="L15" s="186">
        <v>2376</v>
      </c>
      <c r="M15" s="186">
        <v>299</v>
      </c>
      <c r="N15" s="186">
        <v>1054</v>
      </c>
      <c r="O15" s="184">
        <v>37</v>
      </c>
      <c r="P15" s="186">
        <v>71</v>
      </c>
      <c r="Q15" s="186">
        <v>65</v>
      </c>
      <c r="R15" s="186">
        <v>297</v>
      </c>
      <c r="S15" s="186">
        <v>1768</v>
      </c>
      <c r="T15" s="186">
        <v>1826</v>
      </c>
      <c r="U15" s="186">
        <v>1810</v>
      </c>
      <c r="V15" s="186">
        <v>1811</v>
      </c>
      <c r="W15" s="186">
        <v>271</v>
      </c>
      <c r="X15" s="192">
        <v>1050</v>
      </c>
      <c r="Y15" s="205">
        <v>0</v>
      </c>
      <c r="Z15" s="186">
        <v>0</v>
      </c>
      <c r="AA15" s="186">
        <v>0</v>
      </c>
      <c r="AB15" s="186">
        <v>0</v>
      </c>
      <c r="AC15" s="186">
        <v>0</v>
      </c>
      <c r="AD15" s="186">
        <v>0</v>
      </c>
      <c r="AE15" s="186">
        <v>0</v>
      </c>
      <c r="AF15" s="192">
        <v>0</v>
      </c>
      <c r="AG15" s="205">
        <v>0</v>
      </c>
      <c r="AH15" s="186">
        <v>0</v>
      </c>
      <c r="AI15" s="186">
        <v>0</v>
      </c>
      <c r="AJ15" s="206">
        <v>0</v>
      </c>
      <c r="AK15" s="185">
        <v>1</v>
      </c>
      <c r="AL15" s="186">
        <v>0</v>
      </c>
      <c r="AM15" s="186">
        <v>1</v>
      </c>
      <c r="AN15" s="192">
        <v>0</v>
      </c>
      <c r="AO15" s="262">
        <v>3</v>
      </c>
      <c r="AP15" s="158">
        <v>3</v>
      </c>
      <c r="AQ15" s="158">
        <v>3</v>
      </c>
      <c r="AR15" s="158">
        <v>3</v>
      </c>
      <c r="AS15" s="343" t="s">
        <v>523</v>
      </c>
      <c r="AT15" s="206" t="s">
        <v>329</v>
      </c>
      <c r="AU15" s="205"/>
      <c r="AV15" s="206"/>
      <c r="AW15" s="205"/>
      <c r="AX15" s="206"/>
      <c r="AY15" s="128">
        <f t="shared" ref="AY15:BB16" si="9">IF(ISNUMBER(IF(D_I="SI",S15,S15+AK15)),IF(D_I="SI",S15,S15+AK15)," - ")</f>
        <v>1768</v>
      </c>
      <c r="AZ15" s="129">
        <f t="shared" si="9"/>
        <v>1826</v>
      </c>
      <c r="BA15" s="129">
        <f t="shared" si="9"/>
        <v>1810</v>
      </c>
      <c r="BB15" s="129">
        <f t="shared" si="9"/>
        <v>1811</v>
      </c>
      <c r="BC15" s="125">
        <f>IF(ISNUMBER(W15),W15," - ")</f>
        <v>271</v>
      </c>
      <c r="BD15" s="126">
        <f>IF(ISNUMBER(BA15/AZ15),BA15/AZ15," - ")</f>
        <v>0.99123767798466589</v>
      </c>
      <c r="BE15" s="127">
        <f>IF(ISNUMBER(BB15/BA15),BB15/BA15, " - ")</f>
        <v>1.0005524861878452</v>
      </c>
      <c r="BF15" s="127">
        <f>IF(ISNUMBER(BC15/BA15),BC15/BA15, " - ")</f>
        <v>0.14972375690607734</v>
      </c>
      <c r="BG15" s="199">
        <f t="shared" ref="BG15:BG16" si="10">IF(ISNUMBER((AY15+AZ15)/BA15),(AY15+AZ15)/BA15," - ")</f>
        <v>1.9856353591160221</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v>
      </c>
      <c r="J16" s="186">
        <v>0</v>
      </c>
      <c r="K16" s="186">
        <v>0</v>
      </c>
      <c r="L16" s="186">
        <v>14</v>
      </c>
      <c r="M16" s="186">
        <v>0</v>
      </c>
      <c r="N16" s="186">
        <v>0</v>
      </c>
      <c r="O16" s="184">
        <v>0</v>
      </c>
      <c r="P16" s="186">
        <v>0</v>
      </c>
      <c r="Q16" s="186">
        <v>1</v>
      </c>
      <c r="R16" s="186">
        <v>6</v>
      </c>
      <c r="S16" s="186">
        <v>16</v>
      </c>
      <c r="T16" s="186">
        <v>0</v>
      </c>
      <c r="U16" s="186">
        <v>0</v>
      </c>
      <c r="V16" s="186">
        <v>16</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16</v>
      </c>
      <c r="AZ16" s="127">
        <f t="shared" si="9"/>
        <v>0</v>
      </c>
      <c r="BA16" s="127">
        <f t="shared" si="9"/>
        <v>0</v>
      </c>
      <c r="BB16" s="127">
        <f t="shared" si="9"/>
        <v>16</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154</v>
      </c>
      <c r="J17" s="186">
        <v>315</v>
      </c>
      <c r="K17" s="186">
        <v>307</v>
      </c>
      <c r="L17" s="186">
        <v>165</v>
      </c>
      <c r="M17" s="186">
        <v>54</v>
      </c>
      <c r="N17" s="186">
        <v>160</v>
      </c>
      <c r="O17" s="186">
        <v>8</v>
      </c>
      <c r="P17" s="186">
        <v>7</v>
      </c>
      <c r="Q17" s="186">
        <v>8</v>
      </c>
      <c r="R17" s="186">
        <v>16</v>
      </c>
      <c r="S17" s="186">
        <v>137</v>
      </c>
      <c r="T17" s="186">
        <v>312</v>
      </c>
      <c r="U17" s="186">
        <v>267</v>
      </c>
      <c r="V17" s="186">
        <v>182</v>
      </c>
      <c r="W17" s="186">
        <v>60</v>
      </c>
      <c r="X17" s="192">
        <v>110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789</v>
      </c>
      <c r="AT17" s="212"/>
      <c r="AU17" s="203"/>
      <c r="AV17" s="212"/>
      <c r="AW17" s="203"/>
      <c r="AX17" s="212"/>
      <c r="AY17" s="128">
        <f t="shared" ref="AY17:BB17" si="14">IF(ISNUMBER(S17),S17," - ")</f>
        <v>137</v>
      </c>
      <c r="AZ17" s="129">
        <f t="shared" si="14"/>
        <v>312</v>
      </c>
      <c r="BA17" s="129">
        <f t="shared" si="14"/>
        <v>267</v>
      </c>
      <c r="BB17" s="129">
        <f t="shared" si="14"/>
        <v>182</v>
      </c>
      <c r="BC17" s="125">
        <f>IF(ISNUMBER(W17),W17," - ")</f>
        <v>60</v>
      </c>
      <c r="BD17" s="126">
        <f>IF(ISNUMBER(BA17/AZ17),BA17/AZ17," - ")</f>
        <v>0.85576923076923073</v>
      </c>
      <c r="BE17" s="127">
        <f>IF(ISNUMBER(BB17/BA17),BB17/BA17, " - ")</f>
        <v>0.68164794007490637</v>
      </c>
      <c r="BF17" s="127">
        <f>IF(ISNUMBER(BC17/BA17),BC17/BA17, " - ")</f>
        <v>0.2247191011235955</v>
      </c>
      <c r="BG17" s="199">
        <f>IF(ISNUMBER((AY17+AZ17)/BA17),(AY17+AZ17)/BA17," - ")</f>
        <v>1.6816479400749065</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2275</v>
      </c>
      <c r="J18" s="187">
        <f t="shared" si="15"/>
        <v>2455</v>
      </c>
      <c r="K18" s="187">
        <f t="shared" si="15"/>
        <v>2194</v>
      </c>
      <c r="L18" s="187">
        <f t="shared" si="15"/>
        <v>2555</v>
      </c>
      <c r="M18" s="187">
        <f t="shared" si="15"/>
        <v>353</v>
      </c>
      <c r="N18" s="187">
        <f t="shared" si="15"/>
        <v>1214</v>
      </c>
      <c r="O18" s="187">
        <f t="shared" si="15"/>
        <v>45</v>
      </c>
      <c r="P18" s="187">
        <f t="shared" si="15"/>
        <v>78</v>
      </c>
      <c r="Q18" s="187">
        <f t="shared" si="15"/>
        <v>74</v>
      </c>
      <c r="R18" s="187">
        <f t="shared" si="15"/>
        <v>319</v>
      </c>
      <c r="S18" s="187">
        <f t="shared" si="15"/>
        <v>1921</v>
      </c>
      <c r="T18" s="187">
        <f t="shared" si="15"/>
        <v>2138</v>
      </c>
      <c r="U18" s="187">
        <f t="shared" si="15"/>
        <v>2077</v>
      </c>
      <c r="V18" s="187">
        <f t="shared" si="15"/>
        <v>2009</v>
      </c>
      <c r="W18" s="187">
        <f t="shared" si="15"/>
        <v>331</v>
      </c>
      <c r="X18" s="187">
        <f t="shared" si="15"/>
        <v>1160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1</v>
      </c>
      <c r="AN18" s="187">
        <f t="shared" si="15"/>
        <v>0</v>
      </c>
      <c r="AO18" s="187">
        <f t="shared" si="15"/>
        <v>4</v>
      </c>
      <c r="AP18" s="187">
        <f t="shared" si="15"/>
        <v>4</v>
      </c>
      <c r="AQ18" s="187">
        <f t="shared" si="15"/>
        <v>4</v>
      </c>
      <c r="AR18" s="187">
        <f t="shared" si="15"/>
        <v>4</v>
      </c>
      <c r="AS18" s="187">
        <f t="shared" si="15"/>
        <v>0</v>
      </c>
      <c r="AT18" s="187">
        <f t="shared" si="15"/>
        <v>0</v>
      </c>
      <c r="AU18" s="207"/>
      <c r="AV18" s="132"/>
      <c r="AW18" s="207"/>
      <c r="AX18" s="132"/>
      <c r="AY18" s="187">
        <f>SUBTOTAL(9,AY14:AY17)</f>
        <v>1921</v>
      </c>
      <c r="AZ18" s="187">
        <f>SUBTOTAL(9,AZ14:AZ17)</f>
        <v>2138</v>
      </c>
      <c r="BA18" s="187">
        <f>SUBTOTAL(9,BA14:BA17)</f>
        <v>2077</v>
      </c>
      <c r="BB18" s="187">
        <f>SUBTOTAL(9,BB14:BB17)</f>
        <v>2009</v>
      </c>
      <c r="BC18" s="187">
        <f>SUBTOTAL(9,BC14:BC17)</f>
        <v>331</v>
      </c>
      <c r="BD18" s="208">
        <f>IF(ISNUMBER(BA18/AZ18),BA18/AZ18," - ")</f>
        <v>0.97146866230121609</v>
      </c>
      <c r="BE18" s="209">
        <f>IF(ISNUMBER(BB18/BA18),BB18/BA18, " - ")</f>
        <v>0.96726047183437647</v>
      </c>
      <c r="BF18" s="209">
        <f>IF(ISNUMBER(BC18/BA18),BC18/BA18, " - ")</f>
        <v>0.15936446798266732</v>
      </c>
      <c r="BG18" s="210">
        <f>IF(ISNUMBER((AY18+AZ18)/BA18),(AY18+AZ18)/BA18," - ")</f>
        <v>1.954260953298026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4827</v>
      </c>
      <c r="J19" s="134">
        <f t="shared" si="18"/>
        <v>5043</v>
      </c>
      <c r="K19" s="134">
        <f t="shared" si="18"/>
        <v>4333</v>
      </c>
      <c r="L19" s="134">
        <f t="shared" si="18"/>
        <v>5556</v>
      </c>
      <c r="M19" s="134">
        <f t="shared" si="18"/>
        <v>837</v>
      </c>
      <c r="N19" s="134">
        <f t="shared" si="18"/>
        <v>2152</v>
      </c>
      <c r="O19" s="134">
        <f t="shared" si="18"/>
        <v>1257</v>
      </c>
      <c r="P19" s="134">
        <f t="shared" si="18"/>
        <v>771</v>
      </c>
      <c r="Q19" s="134">
        <f t="shared" si="18"/>
        <v>402</v>
      </c>
      <c r="R19" s="134">
        <f t="shared" si="18"/>
        <v>9380</v>
      </c>
      <c r="S19" s="134">
        <f t="shared" si="18"/>
        <v>4627</v>
      </c>
      <c r="T19" s="134">
        <f t="shared" si="18"/>
        <v>3987</v>
      </c>
      <c r="U19" s="134">
        <f t="shared" si="18"/>
        <v>4090</v>
      </c>
      <c r="V19" s="134">
        <f t="shared" si="18"/>
        <v>4551</v>
      </c>
      <c r="W19" s="134">
        <f t="shared" si="18"/>
        <v>853</v>
      </c>
      <c r="X19" s="134">
        <f t="shared" si="18"/>
        <v>2114</v>
      </c>
      <c r="Y19" s="134">
        <f t="shared" si="18"/>
        <v>118</v>
      </c>
      <c r="Z19" s="134">
        <f t="shared" si="18"/>
        <v>189</v>
      </c>
      <c r="AA19" s="134">
        <f t="shared" si="18"/>
        <v>215</v>
      </c>
      <c r="AB19" s="134">
        <f t="shared" si="18"/>
        <v>93</v>
      </c>
      <c r="AC19" s="134">
        <f t="shared" si="18"/>
        <v>0</v>
      </c>
      <c r="AD19" s="134">
        <f t="shared" si="18"/>
        <v>0</v>
      </c>
      <c r="AE19" s="134">
        <f t="shared" si="18"/>
        <v>0</v>
      </c>
      <c r="AF19" s="134">
        <f t="shared" si="18"/>
        <v>0</v>
      </c>
      <c r="AG19" s="134">
        <f t="shared" si="18"/>
        <v>101</v>
      </c>
      <c r="AH19" s="134">
        <f t="shared" si="18"/>
        <v>224</v>
      </c>
      <c r="AI19" s="134">
        <f t="shared" si="18"/>
        <v>220</v>
      </c>
      <c r="AJ19" s="134">
        <f t="shared" si="18"/>
        <v>105</v>
      </c>
      <c r="AK19" s="134">
        <f t="shared" si="18"/>
        <v>1</v>
      </c>
      <c r="AL19" s="134">
        <f t="shared" si="18"/>
        <v>0</v>
      </c>
      <c r="AM19" s="134">
        <f t="shared" si="18"/>
        <v>1</v>
      </c>
      <c r="AN19" s="213">
        <f t="shared" si="18"/>
        <v>0</v>
      </c>
      <c r="AO19" s="214">
        <v>10</v>
      </c>
      <c r="AP19" s="214">
        <v>10</v>
      </c>
      <c r="AQ19" s="214">
        <v>10</v>
      </c>
      <c r="AR19" s="214">
        <v>10</v>
      </c>
      <c r="AS19" s="156">
        <f t="shared" si="18"/>
        <v>0</v>
      </c>
      <c r="AT19" s="156">
        <f t="shared" si="18"/>
        <v>0</v>
      </c>
      <c r="AU19" s="214"/>
      <c r="AV19" s="215"/>
      <c r="AW19" s="214"/>
      <c r="AX19" s="215"/>
      <c r="AY19" s="133">
        <f>SUBTOTAL(9,AY9:AY18)</f>
        <v>4728</v>
      </c>
      <c r="AZ19" s="134">
        <f>SUBTOTAL(9,AZ9:AZ18)</f>
        <v>4211</v>
      </c>
      <c r="BA19" s="134">
        <f>SUBTOTAL(9,BA9:BA18)</f>
        <v>4310</v>
      </c>
      <c r="BB19" s="134">
        <f>SUBTOTAL(9,BB9:BB18)</f>
        <v>4656</v>
      </c>
      <c r="BC19" s="135">
        <f>SUBTOTAL(9,BC9:BC18)</f>
        <v>1274</v>
      </c>
      <c r="BD19" s="216">
        <f>IF(ISNUMBER(BA19/AZ19),BA19/AZ19," - ")</f>
        <v>1.0235098551412967</v>
      </c>
      <c r="BE19" s="213">
        <f>IF(ISNUMBER(BB19/BA19),BB19/BA19, " - ")</f>
        <v>1.080278422273782</v>
      </c>
      <c r="BF19" s="213">
        <f>IF(ISNUMBER(BC19/BA19),BC19/BA19, " - ")</f>
        <v>0.29559164733178656</v>
      </c>
      <c r="BG19" s="135">
        <f>IF(ISNUMBER((AY19+AZ19)/BA19),(AY19+AZ19)/BA19," - ")</f>
        <v>2.0740139211136892</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hgO1nlW9sb9T7UQIpPwWlIBIB0EYltWtP94XkhajpfOnlfZjrb8CucOdzeiIdw2QPDBeaGOWc/3zE/dxmY2OA==" saltValue="UIv9hpcbXJS8rJMdgSYK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dS8EMRYR2A1EJRsI7j98EHUJ52zjez/PF2TSl7RQbqRzeVnA6LIJgEzK3lCpTYJV7nsTzo3Q4FrA77BC9Rsg==" saltValue="JqCc+d0HKp6PzrSldH12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DENIA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189</v>
      </c>
      <c r="O9" s="337"/>
      <c r="P9" s="337"/>
      <c r="Q9" s="229">
        <f>IF(ISNUMBER(Datos!P9),Datos!P9,0)</f>
        <v>688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325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93</v>
      </c>
      <c r="AI9" s="337" t="str">
        <f>IF(ISNUMBER(Datos!CD9),Datos!CD9,"-")</f>
        <v>-</v>
      </c>
      <c r="AJ9" s="337" t="str">
        <f>IF(ISNUMBER(Datos!EN9),Datos!EN9," - ")</f>
        <v xml:space="preserve"> - </v>
      </c>
      <c r="AK9" s="337"/>
      <c r="AL9" s="482"/>
      <c r="AM9" s="338">
        <f>IF(ISNUMBER(Datos!R9),Datos!R9," - ")</f>
        <v>9031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465</v>
      </c>
      <c r="BD9" s="232">
        <f>IF(ISNUMBER(Datos!N9),Datos!N9," - ")</f>
        <v>922</v>
      </c>
      <c r="BE9" s="232" t="str">
        <f>IF(ISNUMBER(Datos!BW9),Datos!BW9," - ")</f>
        <v xml:space="preserve"> - </v>
      </c>
      <c r="BF9" s="231" t="str">
        <f>IF(ISNUMBER(Datos!BX9),Datos!BX9," - ")</f>
        <v xml:space="preserve"> - </v>
      </c>
      <c r="BG9" s="246">
        <f>IF(ISNUMBER(IF(J_V="SI",Datos!K9/Datos!J9,(Datos!K9+Datos!AA9)/(Datos!J9+Datos!Z9))),IF(J_V="SI",Datos!K9/Datos!J9,(Datos!K9+Datos!AA9)/(Datos!J9+Datos!Z9))," - ")</f>
        <v>0.84773060029282576</v>
      </c>
      <c r="BH9" s="263">
        <f>IF(ISNUMBER(((IF(J_V="SI",Datos!L9/Datos!K9,(Datos!L9+Datos!AB9)/(Datos!K9+Datos!AA9)))*11)/factor_trimestre),((IF(J_V="SI",Datos!L9/Datos!K9,(Datos!L9+Datos!AB9)/(Datos!K9+Datos!AA9)))*11)/factor_trimestre," - ")</f>
        <v>3.9119170984455955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4.1878172588832488E-2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3</v>
      </c>
      <c r="AD10" s="337"/>
      <c r="AE10" s="487"/>
      <c r="AF10" s="335">
        <f>IF(ISNUMBER(Datos!L10),Datos!L10,"-")</f>
        <v>74</v>
      </c>
      <c r="AG10" s="337"/>
      <c r="AH10" s="337"/>
      <c r="AI10" s="337"/>
      <c r="AJ10" s="337"/>
      <c r="AK10" s="337"/>
      <c r="AL10" s="482"/>
      <c r="AM10" s="338">
        <f>IF(ISNUMBER(Datos!R10),Datos!R10," - ")</f>
        <v>30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16</v>
      </c>
      <c r="BE10" s="232" t="str">
        <f>IF(ISNUMBER(Datos!BW10),Datos!BW10," - ")</f>
        <v xml:space="preserve"> - </v>
      </c>
      <c r="BF10" s="231" t="str">
        <f>IF(ISNUMBER(Datos!BX10),Datos!BX10," - ")</f>
        <v xml:space="preserve"> - </v>
      </c>
      <c r="BG10" s="246">
        <f>IF(ISNUMBER(Datos!K10/Datos!J10),Datos!K10/Datos!J10," - ")</f>
        <v>0.84444444444444444</v>
      </c>
      <c r="BH10" s="263">
        <f>IF(ISNUMBER(((Datos!L10/Datos!K10)*11)/factor_trimestre),((Datos!L10/Datos!K10)*11)/factor_trimestre," - ")</f>
        <v>5.8421052631578956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7.1428571428571425E-2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189</v>
      </c>
      <c r="O13" s="903">
        <f t="shared" si="0"/>
        <v>0</v>
      </c>
      <c r="P13" s="903">
        <f t="shared" si="0"/>
        <v>0</v>
      </c>
      <c r="Q13" s="902">
        <f t="shared" si="0"/>
        <v>693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328</v>
      </c>
      <c r="AD13" s="902">
        <f t="shared" si="1"/>
        <v>0</v>
      </c>
      <c r="AE13" s="902">
        <f t="shared" si="1"/>
        <v>0</v>
      </c>
      <c r="AF13" s="902">
        <f t="shared" si="1"/>
        <v>74</v>
      </c>
      <c r="AG13" s="902">
        <f t="shared" si="1"/>
        <v>0</v>
      </c>
      <c r="AH13" s="902">
        <f t="shared" si="1"/>
        <v>93</v>
      </c>
      <c r="AI13" s="902">
        <f t="shared" si="1"/>
        <v>0</v>
      </c>
      <c r="AJ13" s="902">
        <f t="shared" si="1"/>
        <v>0</v>
      </c>
      <c r="AK13" s="902">
        <f t="shared" si="1"/>
        <v>0</v>
      </c>
      <c r="AL13" s="902">
        <f t="shared" si="1"/>
        <v>0</v>
      </c>
      <c r="AM13" s="902">
        <f t="shared" si="1"/>
        <v>9061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484</v>
      </c>
      <c r="BD13" s="902">
        <f t="shared" si="1"/>
        <v>938</v>
      </c>
      <c r="BE13" s="902">
        <f t="shared" si="1"/>
        <v>0</v>
      </c>
      <c r="BF13" s="902">
        <f t="shared" si="1"/>
        <v>0</v>
      </c>
      <c r="BG13" s="902">
        <f>IF(ISNUMBER(Datos!K13/Datos!J13),Datos!K13/Datos!J13," - ")</f>
        <v>0.82650695517774342</v>
      </c>
      <c r="BH13" s="906">
        <f>IF(ISNUMBER(((Datos!L13/Datos!K13)*11)/factor_trimestre),((Datos!L13/Datos!K13)*11)/factor_trimestre," - ")</f>
        <v>4.2089761570827493</v>
      </c>
      <c r="BI13" s="902">
        <f>IF(ISNUMBER('Resol  Asuntos'!D13/NºAsuntos!G13),'Resol  Asuntos'!D13/NºAsuntos!G13," - ")</f>
        <v>0.20560747663551401</v>
      </c>
      <c r="BJ13" s="902" t="str">
        <f>IF(ISNUMBER(Datos!CI13/Datos!CJ13),Datos!CI13/Datos!CJ13," - ")</f>
        <v xml:space="preserve"> - </v>
      </c>
      <c r="BK13" s="902">
        <f>SUBTOTAL(9,BK8:BK12)</f>
        <v>0</v>
      </c>
      <c r="BL13" s="902">
        <f>IF(ISNUMBER((I13-AB13+L13)/(F13)),(I13-AB13+L13)/(F13)," - ")</f>
        <v>-0.56716417910447758</v>
      </c>
      <c r="BM13" s="907">
        <f>SUBTOTAL(9,BM9:BM12)</f>
        <v>0.11330674401740391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2123</v>
      </c>
      <c r="G15" s="601">
        <f>IF(ISNUMBER(IF(D_I="SI",Datos!I15,Datos!I15+Datos!AC15)),IF(D_I="SI",Datos!I15,Datos!I15+Datos!AC15)," - ")</f>
        <v>2105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1887</v>
      </c>
      <c r="AC15" s="229">
        <f>IF(ISNUMBER(Datos!Q15),Datos!Q15," - ")</f>
        <v>65</v>
      </c>
      <c r="AD15" s="337"/>
      <c r="AE15" s="487"/>
      <c r="AF15" s="599">
        <f>IF(ISNUMBER(IF(D_I="SI",Datos!L15,Datos!L15+Datos!AF15)),IF(D_I="SI",Datos!L15,Datos!L15+Datos!AF15)," - ")</f>
        <v>2376</v>
      </c>
      <c r="AG15" s="337"/>
      <c r="AH15" s="337"/>
      <c r="AI15" s="337"/>
      <c r="AJ15" s="337"/>
      <c r="AK15" s="337"/>
      <c r="AL15" s="482"/>
      <c r="AM15" s="338">
        <f>IF(ISNUMBER(Datos!R15),Datos!R15," - ")</f>
        <v>297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299</v>
      </c>
      <c r="BD15" s="232">
        <f>IF(ISNUMBER(Datos!N15),Datos!N15," - ")</f>
        <v>1054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0.88177570093457946</v>
      </c>
      <c r="BH15" s="263">
        <f>IF(ISNUMBER(((IF(D_I="SI",Datos!L15/Datos!K15,(Datos!L15+Datos!AF15)/(Datos!K15+Datos!AE15)))*11)/factor_trimestre),((IF(D_I="SI",Datos!L15/Datos!K15,(Datos!L15+Datos!AF15)/(Datos!K15+Datos!AE15)))*11)/factor_trimestre," - ")</f>
        <v>3.7774244833068362</v>
      </c>
      <c r="BI15" s="246">
        <f>IF(ISNUMBER('Resol  Asuntos'!D15/NºAsuntos!G15),'Resol  Asuntos'!D15/NºAsuntos!G15," - ")</f>
        <v>0.1584525702172761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14</v>
      </c>
      <c r="G16" s="601">
        <f>IF(ISNUMBER(IF(D_I="SI",Datos!I16,Datos!I16+Datos!AC16)),IF(D_I="SI",Datos!I16,Datos!I16+Datos!AC16)," - ")</f>
        <v>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1</v>
      </c>
      <c r="AD16" s="337"/>
      <c r="AE16" s="487"/>
      <c r="AF16" s="599">
        <f>IF(ISNUMBER(IF(D_I="SI",Datos!L16,Datos!L16+Datos!AF16)),IF(D_I="SI",Datos!L16,Datos!L16+Datos!AF16)," - ")</f>
        <v>14</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307</v>
      </c>
      <c r="AC17" s="229">
        <f>IF(ISNUMBER(Datos!Q17),Datos!Q17," - ")</f>
        <v>8</v>
      </c>
      <c r="AD17" s="337"/>
      <c r="AE17" s="487"/>
      <c r="AF17" s="335">
        <f>IF(ISNUMBER(Datos!L17),Datos!L17,"-")</f>
        <v>165</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54</v>
      </c>
      <c r="BD17" s="232">
        <f>IF(ISNUMBER(Datos!N17),Datos!N17," - ")</f>
        <v>160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0.97460317460317458</v>
      </c>
      <c r="BH17" s="263">
        <f>IF(ISNUMBER(((IF(D_I="SI",Datos!L17/Datos!K17,(Datos!L17+Datos!AF17)/(Datos!K17+Datos!AE17)))*11)/factor_trimestre),((IF(D_I="SI",Datos!L17/Datos!K17,(Datos!L17+Datos!AF17)/(Datos!K17+Datos!AE17)))*11)/factor_trimestre," - ")</f>
        <v>1.6123778501628667</v>
      </c>
      <c r="BI17" s="246">
        <f>IF(ISNUMBER('Resol  Asuntos'!D17/NºAsuntos!G17),'Resol  Asuntos'!D17/NºAsuntos!G17," - ")</f>
        <v>0.1758957654723127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2137</v>
      </c>
      <c r="G18" s="901">
        <f>SUBTOTAL(9,G15:G17)</f>
        <v>2275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2194</v>
      </c>
      <c r="AC18" s="902">
        <f t="shared" si="4"/>
        <v>74</v>
      </c>
      <c r="AD18" s="902">
        <f t="shared" si="4"/>
        <v>0</v>
      </c>
      <c r="AE18" s="902">
        <f t="shared" si="4"/>
        <v>0</v>
      </c>
      <c r="AF18" s="902">
        <f t="shared" si="4"/>
        <v>2555</v>
      </c>
      <c r="AG18" s="902">
        <f t="shared" si="4"/>
        <v>0</v>
      </c>
      <c r="AH18" s="902">
        <f t="shared" si="4"/>
        <v>0</v>
      </c>
      <c r="AI18" s="902">
        <f t="shared" si="4"/>
        <v>0</v>
      </c>
      <c r="AJ18" s="902">
        <f t="shared" si="4"/>
        <v>0</v>
      </c>
      <c r="AK18" s="902">
        <f t="shared" si="4"/>
        <v>0</v>
      </c>
      <c r="AL18" s="902">
        <f t="shared" si="4"/>
        <v>0</v>
      </c>
      <c r="AM18" s="902">
        <f t="shared" si="4"/>
        <v>319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353</v>
      </c>
      <c r="BD18" s="902">
        <f t="shared" si="4"/>
        <v>1214</v>
      </c>
      <c r="BE18" s="902">
        <f t="shared" si="4"/>
        <v>0</v>
      </c>
      <c r="BF18" s="902">
        <f t="shared" si="4"/>
        <v>0</v>
      </c>
      <c r="BG18" s="902">
        <f>IF(ISNUMBER(Datos!K18/Datos!J18),Datos!K18/Datos!J18," - ")</f>
        <v>0.89368635437881871</v>
      </c>
      <c r="BH18" s="906">
        <f>IF(ISNUMBER(((Datos!L18/Datos!K18)*11)/factor_trimestre),((Datos!L18/Datos!K18)*11)/factor_trimestre," - ")</f>
        <v>3.4936189608021881</v>
      </c>
      <c r="BI18" s="902">
        <f>SUBTOTAL(9,BI15:BI17)</f>
        <v>0.33434833568958877</v>
      </c>
      <c r="BJ18" s="902">
        <f>SUBTOTAL(9,BJ15:BJ17)</f>
        <v>0</v>
      </c>
      <c r="BK18" s="902">
        <f>SUBTOTAL(9,BK15:BK17)</f>
        <v>0</v>
      </c>
      <c r="BL18" s="902">
        <f>IF(ISNUMBER((I18-AB18+L18)/(F18)),(I18-AB18+L18)/(F18)," - ")</f>
        <v>-1.0266729059429107</v>
      </c>
      <c r="BM18" s="908">
        <f>IF(ISNUMBER((Datos!P18-Datos!Q18)/(Datos!R18-Datos!P18+Datos!Q18)),(Datos!P18-Datos!Q18)/(Datos!R18-Datos!P18+Datos!Q18)," - ")</f>
        <v>1.2698412698412698E-2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2204</v>
      </c>
      <c r="G19" s="823">
        <f t="shared" si="6"/>
        <v>2342</v>
      </c>
      <c r="H19" s="825">
        <f t="shared" si="6"/>
        <v>0</v>
      </c>
      <c r="I19" s="823">
        <f t="shared" si="6"/>
        <v>0</v>
      </c>
      <c r="J19" s="825">
        <f t="shared" si="6"/>
        <v>0</v>
      </c>
      <c r="K19" s="825">
        <f t="shared" si="6"/>
        <v>0</v>
      </c>
      <c r="L19" s="884">
        <f t="shared" si="6"/>
        <v>0</v>
      </c>
      <c r="M19" s="884">
        <f t="shared" si="6"/>
        <v>0</v>
      </c>
      <c r="N19" s="884">
        <f t="shared" si="6"/>
        <v>189</v>
      </c>
      <c r="O19" s="884">
        <f t="shared" si="6"/>
        <v>0</v>
      </c>
      <c r="P19" s="884">
        <f t="shared" si="6"/>
        <v>0</v>
      </c>
      <c r="Q19" s="825">
        <f t="shared" si="6"/>
        <v>771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2232</v>
      </c>
      <c r="AC19" s="824">
        <f t="shared" si="7"/>
        <v>402</v>
      </c>
      <c r="AD19" s="824">
        <f t="shared" si="7"/>
        <v>0</v>
      </c>
      <c r="AE19" s="824">
        <f t="shared" si="7"/>
        <v>0</v>
      </c>
      <c r="AF19" s="831">
        <f t="shared" si="7"/>
        <v>2629</v>
      </c>
      <c r="AG19" s="831">
        <f t="shared" si="7"/>
        <v>0</v>
      </c>
      <c r="AH19" s="831">
        <f t="shared" si="7"/>
        <v>93</v>
      </c>
      <c r="AI19" s="831">
        <f t="shared" si="7"/>
        <v>0</v>
      </c>
      <c r="AJ19" s="824">
        <f t="shared" si="7"/>
        <v>0</v>
      </c>
      <c r="AK19" s="831">
        <f t="shared" si="7"/>
        <v>0</v>
      </c>
      <c r="AL19" s="831">
        <f t="shared" si="7"/>
        <v>0</v>
      </c>
      <c r="AM19" s="831">
        <f t="shared" si="7"/>
        <v>9380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837</v>
      </c>
      <c r="BD19" s="823">
        <f t="shared" si="7"/>
        <v>2152</v>
      </c>
      <c r="BE19" s="823">
        <f t="shared" si="7"/>
        <v>0</v>
      </c>
      <c r="BF19" s="833">
        <f t="shared" si="7"/>
        <v>0</v>
      </c>
      <c r="BG19" s="918">
        <f>IF(ISNUMBER(Datos!K19/Datos!J19),Datos!K19/Datos!J19," - ")</f>
        <v>0.85921078722982347</v>
      </c>
      <c r="BH19" s="918">
        <f>IF(ISNUMBER(((Datos!L19/Datos!K19)*11)/factor_trimestre),((Datos!L19/Datos!K19)*11)/factor_trimestre," - ")</f>
        <v>3.846757442880222</v>
      </c>
      <c r="BI19" s="816">
        <f>IF(ISNUMBER(Datos!J19/Datos!I19),Datos!J19/Datos!I19," - ")</f>
        <v>1.0447482908638905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-1.0127041742286751</v>
      </c>
      <c r="BM19" s="892">
        <f>IF(ISNUMBER((Datos!P19-Datos!Q19+R19)/(Datos!R19-Datos!P19+Datos!Q19-R19)),(Datos!P19-Datos!Q19+R19)/(Datos!R19-Datos!P19+Datos!Q19-R19)," - ")</f>
        <v>4.0949950061036508E-2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780.66666666666663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2.6977356760397742</v>
      </c>
      <c r="F21" s="554">
        <f>IF(ISNUMBER(STDEV(F8:F18)),STDEV(F8:F18),"-")</f>
        <v>1139.844199879966</v>
      </c>
      <c r="G21" s="555">
        <f>IF(ISNUMBER(STDEV(G8:G18)),STDEV(G8:G18),"-")</f>
        <v>1093.8882331694892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1014.921277735372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211.12510396399932</v>
      </c>
      <c r="BD21" s="554"/>
      <c r="BE21" s="554">
        <f>IF(ISNUMBER(STDEV(BE8:BE18)),STDEV(BE8:BE18),"-")</f>
        <v>0</v>
      </c>
      <c r="BF21" s="559">
        <f>IF(ISNUMBER(STDEV(BF8:BF18)),STDEV(BF8:BF18),"-")</f>
        <v>0</v>
      </c>
      <c r="BG21" s="778">
        <f>IF(ISNUMBER(STDEV(BG8:BG18)),STDEV(BG8:BG18),"-")</f>
        <v>5.3453051266062285E-2</v>
      </c>
      <c r="BH21" s="779">
        <f>IF(ISNUMBER(STDEV(BH8:BH18)),STDEV(BH8:BH18),"-")</f>
        <v>1.3586531104165815</v>
      </c>
      <c r="BI21" s="252">
        <f>IF(ISNUMBER(STDEV(BI8:BI18)),STDEV(BI8:BI18),"-")</f>
        <v>7.9598671549737793E-2</v>
      </c>
      <c r="BJ21" s="233" t="str">
        <f>IF(ISNUMBER(BL21/BM21),BL21/BM21," - ")</f>
        <v xml:space="preserve"> - </v>
      </c>
      <c r="BK21" s="578"/>
      <c r="BL21" s="562">
        <f>IF(ISNUMBER(STDEV(BL8:BL18)),STDEV(BL8:BL18),"-")</f>
        <v>0.32492173676185276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arsdpt7dEP+s2bAVUa/psCx2/Lf0j809lRmTchttZQhg3kojxjN2fkr8nkFkQnTTs48NPunHc51GSVzCpyztQ==" saltValue="n4wo6kupJs5xTNOJp55z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DENIA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688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325</v>
      </c>
      <c r="AA9" s="335" t="str">
        <f>IF(ISNUMBER(IF(J_V="SI",Datos!L9,Datos!L9+Datos!AB9)-IF(Monitorios="SI",Datos!CD9,0)),
                          IF(J_V="SI",Datos!L9,Datos!L9+Datos!AB9)-IF(Monitorios="SI",Datos!CD9,0),
                          " - ")</f>
        <v xml:space="preserve"> - </v>
      </c>
      <c r="AB9" s="337"/>
      <c r="AC9" s="337"/>
      <c r="AD9" s="487"/>
      <c r="AE9" s="487">
        <f>IF(ISNUMBER(Datos!R9),Datos!R9," - ")</f>
        <v>9031</v>
      </c>
      <c r="AF9" s="232" t="str">
        <f>IF(ISNUMBER(Datos!BV9),Datos!BV9," - ")</f>
        <v xml:space="preserve"> - </v>
      </c>
      <c r="AG9" s="228" t="str">
        <f>IF(ISNUMBER(Datos!DV9),Datos!DV9," - ")</f>
        <v xml:space="preserve"> - </v>
      </c>
      <c r="AH9" s="301"/>
      <c r="AI9" s="230"/>
      <c r="AJ9" s="228">
        <f>IF(ISNUMBER(Datos!M9),Datos!M9," - ")</f>
        <v>465</v>
      </c>
      <c r="AK9" s="232">
        <f>IF(ISNUMBER(Datos!N9),Datos!N9," - ")</f>
        <v>922</v>
      </c>
      <c r="AL9" s="232" t="str">
        <f>IF(ISNUMBER(Datos!BW9),Datos!BW9," - ")</f>
        <v xml:space="preserve"> - </v>
      </c>
      <c r="AM9" s="231" t="str">
        <f>IF(ISNUMBER(Datos!BX9),Datos!BX9," - ")</f>
        <v xml:space="preserve"> - </v>
      </c>
      <c r="AN9" s="246"/>
      <c r="AO9" s="263">
        <f>IF(ISNUMBER(((NºAsuntos!I9/NºAsuntos!G9)*11)/factor_trimestre),((NºAsuntos!I9/NºAsuntos!G9)*11)/factor_trimestre," - ")</f>
        <v>3.9119170984455955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4.1878172588832488E-2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3</v>
      </c>
      <c r="AA10" s="335">
        <f>IF(ISNUMBER(Datos!L10),Datos!L10,"-")</f>
        <v>74</v>
      </c>
      <c r="AB10" s="337"/>
      <c r="AC10" s="337"/>
      <c r="AD10" s="487"/>
      <c r="AE10" s="487">
        <f>IF(ISNUMBER(Datos!R10),Datos!R10," - ")</f>
        <v>30</v>
      </c>
      <c r="AF10" s="232" t="str">
        <f>IF(ISNUMBER(Datos!BV10),Datos!BV10," - ")</f>
        <v xml:space="preserve"> - </v>
      </c>
      <c r="AG10" s="228" t="str">
        <f>IF(ISNUMBER(Datos!DV10),Datos!DV10," - ")</f>
        <v xml:space="preserve"> - </v>
      </c>
      <c r="AH10" s="301"/>
      <c r="AI10" s="230"/>
      <c r="AJ10" s="228">
        <f>IF(ISNUMBER(Datos!M10),Datos!M10," - ")</f>
        <v>19</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5.8421052631578956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7.1428571428571425E-2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693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328</v>
      </c>
      <c r="AA13" s="903">
        <f t="shared" si="2"/>
        <v>74</v>
      </c>
      <c r="AB13" s="903">
        <f t="shared" si="2"/>
        <v>0</v>
      </c>
      <c r="AC13" s="903">
        <f t="shared" si="2"/>
        <v>0</v>
      </c>
      <c r="AD13" s="903">
        <f t="shared" si="2"/>
        <v>0</v>
      </c>
      <c r="AE13" s="903">
        <f t="shared" si="2"/>
        <v>9061</v>
      </c>
      <c r="AF13" s="911">
        <f t="shared" si="2"/>
        <v>0</v>
      </c>
      <c r="AG13" s="911">
        <f t="shared" si="2"/>
        <v>0</v>
      </c>
      <c r="AH13" s="911">
        <f t="shared" si="2"/>
        <v>0</v>
      </c>
      <c r="AI13" s="911">
        <f t="shared" si="2"/>
        <v>0</v>
      </c>
      <c r="AJ13" s="911">
        <f t="shared" si="2"/>
        <v>484</v>
      </c>
      <c r="AK13" s="911">
        <f t="shared" si="2"/>
        <v>938</v>
      </c>
      <c r="AL13" s="911">
        <f t="shared" si="2"/>
        <v>0</v>
      </c>
      <c r="AM13" s="911">
        <f t="shared" si="2"/>
        <v>0</v>
      </c>
      <c r="AN13" s="911">
        <f t="shared" si="2"/>
        <v>0</v>
      </c>
      <c r="AO13" s="907">
        <f>IF(ISNUMBER(((NºAsuntos!I13/NºAsuntos!G13)*11)/factor_trimestre),((NºAsuntos!I13/NºAsuntos!G13)*11)/factor_trimestre," - ")</f>
        <v>3.9430756159728122</v>
      </c>
      <c r="AP13" s="913" t="str">
        <f>IF(ISNUMBER(Datos!CI13/Datos!CJ13),Datos!CI13/Datos!CJ13," - ")</f>
        <v xml:space="preserve"> - </v>
      </c>
      <c r="AQ13" s="931">
        <f t="shared" ref="AQ13:AV13" si="3">SUBTOTAL(9,AQ9:AQ12)</f>
        <v>0</v>
      </c>
      <c r="AR13" s="931">
        <f t="shared" si="3"/>
        <v>0.11330674401740391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2123</v>
      </c>
      <c r="G15" s="228">
        <f>IF(ISNUMBER(IF(D_I="SI",Datos!I15,Datos!I15+Datos!AC15)),IF(D_I="SI",Datos!I15,Datos!I15+Datos!AC15)," - ")</f>
        <v>2105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1887</v>
      </c>
      <c r="Z15" s="622">
        <f>IF(ISNUMBER(Datos!Q15),Datos!Q15," - ")</f>
        <v>65</v>
      </c>
      <c r="AA15" s="335">
        <f>IF(ISNUMBER(IF(D_I="SI",Datos!L15,Datos!L15+Datos!AF15)),IF(D_I="SI",Datos!L15,Datos!L15+Datos!AF15)," - ")</f>
        <v>2376</v>
      </c>
      <c r="AB15" s="337"/>
      <c r="AC15" s="337"/>
      <c r="AD15" s="487"/>
      <c r="AE15" s="487">
        <f>IF(ISNUMBER(Datos!R15),Datos!R15," - ")</f>
        <v>297</v>
      </c>
      <c r="AF15" s="232" t="str">
        <f>IF(ISNUMBER(Datos!BV15),Datos!BV15," - ")</f>
        <v xml:space="preserve"> - </v>
      </c>
      <c r="AG15" s="228"/>
      <c r="AH15" s="301"/>
      <c r="AI15" s="230"/>
      <c r="AJ15" s="228">
        <f>IF(ISNUMBER(Datos!M15),Datos!M15," - ")</f>
        <v>299</v>
      </c>
      <c r="AK15" s="232">
        <f>IF(ISNUMBER(Datos!N15),Datos!N15," - ")</f>
        <v>1054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3.7774244833068362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14</v>
      </c>
      <c r="G16" s="228">
        <f>IF(ISNUMBER(IF(D_I="SI",Datos!I16,Datos!I16+Datos!AC16)),IF(D_I="SI",Datos!I16,Datos!I16+Datos!AC16)," - ")</f>
        <v>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1</v>
      </c>
      <c r="AA16" s="335">
        <f>IF(ISNUMBER(IF(D_I="SI",Datos!L16,Datos!L16+Datos!AF16)),IF(D_I="SI",Datos!L16,Datos!L16+Datos!AF16)," - ")</f>
        <v>14</v>
      </c>
      <c r="AB16" s="337"/>
      <c r="AC16" s="337"/>
      <c r="AD16" s="487"/>
      <c r="AE16" s="487">
        <f>IF(ISNUMBER(Datos!R16),Datos!R16," - ")</f>
        <v>6</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307</v>
      </c>
      <c r="Z17" s="622">
        <f>IF(ISNUMBER(Datos!Q17),Datos!Q17," - ")</f>
        <v>8</v>
      </c>
      <c r="AA17" s="335">
        <f>IF(ISNUMBER(Datos!L17),Datos!L17,"-")</f>
        <v>165</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54</v>
      </c>
      <c r="AK17" s="232">
        <f>IF(ISNUMBER(Datos!N17),Datos!N17," - ")</f>
        <v>160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1.6123778501628667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2137</v>
      </c>
      <c r="G18" s="901">
        <f>SUBTOTAL(9,G15:G17)</f>
        <v>2275</v>
      </c>
      <c r="H18" s="935">
        <f>SUBTOTAL(9,H15:H17)</f>
        <v>0</v>
      </c>
      <c r="I18" s="914">
        <f>SUBTOTAL(9,I15:I17)</f>
        <v>0</v>
      </c>
      <c r="J18" s="870">
        <f>SUBTOTAL(9,J14:J17)</f>
        <v>0</v>
      </c>
      <c r="K18" s="935">
        <f t="shared" ref="K18:S18" si="4">SUBTOTAL(9,K15:K17)</f>
        <v>0</v>
      </c>
      <c r="L18" s="935">
        <f t="shared" si="4"/>
        <v>0</v>
      </c>
      <c r="M18" s="935">
        <f t="shared" si="4"/>
        <v>0</v>
      </c>
      <c r="N18" s="935">
        <f t="shared" si="4"/>
        <v>78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2194</v>
      </c>
      <c r="Z18" s="935">
        <f t="shared" si="5"/>
        <v>74</v>
      </c>
      <c r="AA18" s="935">
        <f t="shared" si="5"/>
        <v>2555</v>
      </c>
      <c r="AB18" s="935">
        <f t="shared" si="5"/>
        <v>0</v>
      </c>
      <c r="AC18" s="935">
        <f t="shared" si="5"/>
        <v>0</v>
      </c>
      <c r="AD18" s="935">
        <f t="shared" si="5"/>
        <v>0</v>
      </c>
      <c r="AE18" s="935">
        <f t="shared" si="5"/>
        <v>319</v>
      </c>
      <c r="AF18" s="935">
        <f t="shared" si="5"/>
        <v>0</v>
      </c>
      <c r="AG18" s="935">
        <f t="shared" si="5"/>
        <v>0</v>
      </c>
      <c r="AH18" s="935">
        <f t="shared" si="5"/>
        <v>0</v>
      </c>
      <c r="AI18" s="935">
        <f t="shared" si="5"/>
        <v>0</v>
      </c>
      <c r="AJ18" s="935">
        <f t="shared" si="5"/>
        <v>353</v>
      </c>
      <c r="AK18" s="935">
        <f t="shared" si="5"/>
        <v>1214</v>
      </c>
      <c r="AL18" s="935">
        <f t="shared" si="5"/>
        <v>0</v>
      </c>
      <c r="AM18" s="935">
        <f t="shared" si="5"/>
        <v>0</v>
      </c>
      <c r="AN18" s="935">
        <f t="shared" si="5"/>
        <v>0</v>
      </c>
      <c r="AO18" s="937">
        <f>IF(ISNUMBER(((NºAsuntos!I18/NºAsuntos!G18)*11)/factor_trimestre),((NºAsuntos!I18/NºAsuntos!G18)*11)/factor_trimestre," - ")</f>
        <v>3.4936189608021881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2204</v>
      </c>
      <c r="G19" s="823">
        <f t="shared" si="7"/>
        <v>2342</v>
      </c>
      <c r="H19" s="824">
        <f t="shared" si="7"/>
        <v>0</v>
      </c>
      <c r="I19" s="823">
        <f t="shared" si="7"/>
        <v>0</v>
      </c>
      <c r="J19" s="825">
        <f t="shared" si="7"/>
        <v>0</v>
      </c>
      <c r="K19" s="823">
        <f t="shared" si="7"/>
        <v>0</v>
      </c>
      <c r="L19" s="826">
        <f t="shared" si="7"/>
        <v>0</v>
      </c>
      <c r="M19" s="823">
        <f t="shared" si="7"/>
        <v>0</v>
      </c>
      <c r="N19" s="824">
        <f t="shared" si="7"/>
        <v>771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2232</v>
      </c>
      <c r="Z19" s="830">
        <f t="shared" si="8"/>
        <v>402</v>
      </c>
      <c r="AA19" s="831">
        <f t="shared" si="8"/>
        <v>2629</v>
      </c>
      <c r="AB19" s="831">
        <f t="shared" si="8"/>
        <v>0</v>
      </c>
      <c r="AC19" s="831">
        <f t="shared" si="8"/>
        <v>0</v>
      </c>
      <c r="AD19" s="832">
        <f t="shared" si="8"/>
        <v>0</v>
      </c>
      <c r="AE19" s="832">
        <f t="shared" si="8"/>
        <v>9380</v>
      </c>
      <c r="AF19" s="833">
        <f t="shared" si="8"/>
        <v>0</v>
      </c>
      <c r="AG19" s="834">
        <f t="shared" si="8"/>
        <v>0</v>
      </c>
      <c r="AH19" s="835">
        <f t="shared" si="8"/>
        <v>0</v>
      </c>
      <c r="AI19" s="833">
        <f t="shared" si="8"/>
        <v>0</v>
      </c>
      <c r="AJ19" s="823">
        <f t="shared" si="8"/>
        <v>837</v>
      </c>
      <c r="AK19" s="823">
        <f t="shared" si="8"/>
        <v>2152</v>
      </c>
      <c r="AL19" s="823">
        <f t="shared" si="8"/>
        <v>0</v>
      </c>
      <c r="AM19" s="836">
        <f t="shared" si="8"/>
        <v>0</v>
      </c>
      <c r="AN19" s="826">
        <f>IF(ISNUMBER(Datos!K19/Datos!J19),Datos!K19/Datos!J19," - ")</f>
        <v>0.85921078722982347</v>
      </c>
      <c r="AO19" s="826">
        <f>IF(ISNUMBER(FIND("06",Criterios!A8,1)),(IF(ISNUMBER(((Datos!R19/Datos!Q19)*11)/factor_trimestre),((Datos!R19/Datos!Q19)*11)/factor_trimestre," - ")),(IF(ISNUMBER(((Datos!L19/Datos!K19)*11)/factor_trimestre),((Datos!L19/Datos!K19)*11)/factor_trimestre," - ")))</f>
        <v>3.846757442880222</v>
      </c>
      <c r="AP19" s="837" t="str">
        <f>IF(ISNUMBER(Datos!CI19/Datos!CJ19),Datos!CI19/Datos!CJ19," - ")</f>
        <v xml:space="preserve"> - </v>
      </c>
      <c r="AQ19" s="837">
        <f>IF(OR(ISNUMBER(FIND("01",Criterios!A8,1)),ISNUMBER(FIND("02",Criterios!A8,1)),ISNUMBER(FIND("03",Criterios!A8,1)),ISNUMBER(FIND("04",Criterios!A8,1))),(J19-Y19+K19)/(F19-K19),(I19-Y19+K19)/(F19-K19))</f>
        <v>-1.0127041742286751</v>
      </c>
      <c r="AR19" s="837">
        <f>IF(ISNUMBER((Datos!P19-Datos!Q19+O19)/(Datos!R19-Datos!P19+Datos!Q19-O19)),(Datos!P19-Datos!Q19+O19)/(Datos!R19-Datos!P19+Datos!Q19-O19)," - ")</f>
        <v>4.0949950061036508E-2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780.66666666666663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1139.844199879966</v>
      </c>
      <c r="G21" s="555">
        <f>IF(ISNUMBER(STDEV(G8:G18)),STDEV(G8:G18),"-")</f>
        <v>1093.8882331694892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211.12510396399932</v>
      </c>
      <c r="AK21" s="255"/>
      <c r="AL21" s="255">
        <f>IF(ISNUMBER(STDEV(AL8:AL18)),STDEV(AL8:AL18),"-")</f>
        <v>0</v>
      </c>
      <c r="AM21" s="257">
        <f>IF(ISNUMBER(STDEV(AM8:AM18)),STDEV(AM8:AM18),"-")</f>
        <v>0</v>
      </c>
      <c r="AN21" s="542">
        <f>IF(ISNUMBER(STDEV(AN8:AN18)),STDEV(AN8:AN18),"-")</f>
        <v>0</v>
      </c>
      <c r="AO21" s="543">
        <f>IF(ISNUMBER(STDEV(AO8:AO18)),STDEV(AO8:AO18),"-")</f>
        <v>1.3472365054843121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56rwX6e1VdO5TNpaKiNpyfCm7pD4dUep1QVYIMKGKlv6iG1nFft6Qmmwv93L1DckQ8qNUJ1dNa69kXPB//DAg==" saltValue="lZ0lkA6vHfohxUSFEdth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HBCHYju+4kPBvjN9dF/b5ggAa6x6GUzPCkrcp5H09NLdy4DFWZrAFjWHf2K39gpMCJyzVNpFENNzdKI+BUlcQ==" saltValue="zGSdd7HZ5L8QcQ/zz5bN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afhtUQJ54rR6zZza6bWjePaEORF9kkSV3Oa7waD2LjVvPuB9UzRPLoQ4TXIZ2WtcV7oVB4Cbb3sbAy5kY8zfw==" saltValue="sxz2MS6eMb3YoXODADsp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DENIA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0.20560747663551401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0.14538644099162659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yJOwhkpErHCaSxuGidTw0ThubPMTfwK+9c4DStSdQciw0aSbuZT3Dec1tk2eOIEt1asMko6I2l24ttl8DXYloA==" saltValue="IMLCQORW4qQ5g+9F/9iI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iiDBbmDGkIrkXhQQ/05Yqr5duJp24aiM31gAxR9tI5913iPx6sILNrtetbxAZWPCDmkv7203O9O7rrgoUM0uBQ==" saltValue="OqeP92Lw+tWmf4kbesqp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DENIA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2603</v>
      </c>
      <c r="D9" s="407">
        <f>IF(ISNUMBER(C9/Datos!BH9),C9/Datos!BH9," - ")</f>
        <v>433.83333333333331</v>
      </c>
      <c r="E9" s="406">
        <f>IF(ISNUMBER(IF(J_V="SI",Datos!J9,Datos!J9+Datos!Z9)),IF(J_V="SI",Datos!J9,Datos!J9+Datos!Z9)," - ")</f>
        <v>2732</v>
      </c>
      <c r="F9" s="407">
        <f>IF(ISNUMBER(E9/B9),E9/B9," - ")</f>
        <v>455.33333333333331</v>
      </c>
      <c r="G9" s="406">
        <f>IF(ISNUMBER(IF(J_V="SI",Datos!K9,Datos!K9+Datos!AA9)),IF(J_V="SI",Datos!K9,Datos!K9+Datos!AA9)," - ")</f>
        <v>2316</v>
      </c>
      <c r="H9" s="407">
        <f>IF(ISNUMBER(G9/B9),G9/B9," - ")</f>
        <v>386</v>
      </c>
      <c r="I9" s="406">
        <f>IF(ISNUMBER(IF(J_V="SI",Datos!L9,Datos!L9+Datos!AB9)),IF(J_V="SI",Datos!L9,Datos!L9+Datos!AB9)," - ")</f>
        <v>3020</v>
      </c>
      <c r="J9" s="407">
        <f>IF(ISNUMBER(I9/B9),I9/B9," - ")</f>
        <v>503.33333333333331</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45</v>
      </c>
      <c r="F10" s="407">
        <f>IF(ISNUMBER(E10/B10),E10/B10," - ")</f>
        <v>45</v>
      </c>
      <c r="G10" s="406">
        <f>IF(ISNUMBER(Datos!K10),Datos!K10," - ")</f>
        <v>38</v>
      </c>
      <c r="H10" s="407">
        <f>IF(ISNUMBER(G10/B10),G10/B10," - ")</f>
        <v>38</v>
      </c>
      <c r="I10" s="406">
        <f>IF(ISNUMBER(Datos!L10),Datos!L10," - ")</f>
        <v>74</v>
      </c>
      <c r="J10" s="407">
        <f>IF(ISNUMBER(I10/B10),I10/B10," - ")</f>
        <v>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2670</v>
      </c>
      <c r="D13" s="853" t="str">
        <f>IF(ISNUMBER(C13/Datos!BI13),C13/Datos!BI13," - ")</f>
        <v xml:space="preserve"> - </v>
      </c>
      <c r="E13" s="852">
        <f>SUBTOTAL(9,E8:E12)</f>
        <v>2777</v>
      </c>
      <c r="F13" s="853">
        <f>IF(ISNUMBER(E13/B13),E13/B13," - ")</f>
        <v>396.71428571428572</v>
      </c>
      <c r="G13" s="852">
        <f>SUBTOTAL(9,G8:G12)</f>
        <v>2354</v>
      </c>
      <c r="H13" s="853">
        <f>IF(ISNUMBER(G13/B13),G13/B13," - ")</f>
        <v>336.28571428571428</v>
      </c>
      <c r="I13" s="852">
        <f>SUBTOTAL(9,I8:I12)</f>
        <v>3094</v>
      </c>
      <c r="J13" s="853">
        <f>IF(ISNUMBER(I13/B13),I13/B13," - ")</f>
        <v>442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2105</v>
      </c>
      <c r="D15" s="407">
        <f>IF(ISNUMBER(C15/Datos!BH15),C15/Datos!BH15," - ")</f>
        <v>701.66666666666663</v>
      </c>
      <c r="E15" s="406">
        <f>IF(ISNUMBER(IF(D_I="SI",Datos!J15,Datos!J15+Datos!AD15)),IF(D_I="SI",Datos!J15,Datos!J15+Datos!AD15)," - ")</f>
        <v>2140</v>
      </c>
      <c r="F15" s="407">
        <f>IF(ISNUMBER(E15/B15),E15/B15," - ")</f>
        <v>713.33333333333337</v>
      </c>
      <c r="G15" s="406">
        <f>IF(ISNUMBER(IF(D_I="SI",Datos!K15,Datos!K15+Datos!AE15)),IF(D_I="SI",Datos!K15,Datos!K15+Datos!AE15)," - ")</f>
        <v>1887</v>
      </c>
      <c r="H15" s="407">
        <f>IF(ISNUMBER(G15/B15),G15/B15," - ")</f>
        <v>629</v>
      </c>
      <c r="I15" s="406">
        <f>IF(ISNUMBER(IF(D_I="SI",Datos!L15,Datos!L15+Datos!AF15)),IF(D_I="SI",Datos!L15,Datos!L15+Datos!AF15)," - ")</f>
        <v>2376</v>
      </c>
      <c r="J15" s="407">
        <f>IF(ISNUMBER(I15/B15),I15/B15," - ")</f>
        <v>792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16</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14</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154</v>
      </c>
      <c r="D17" s="407">
        <f>IF(ISNUMBER(C17/Datos!BH17),C17/Datos!BH17," - ")</f>
        <v>154</v>
      </c>
      <c r="E17" s="406">
        <f>IF(ISNUMBER(IF(D_I="SI",Datos!J17,Datos!J17+Datos!AD17)),IF(D_I="SI",Datos!J17,Datos!J17+Datos!AD17)," - ")</f>
        <v>315</v>
      </c>
      <c r="F17" s="407">
        <f>IF(ISNUMBER(E17/B17),E17/B17," - ")</f>
        <v>315</v>
      </c>
      <c r="G17" s="406">
        <f>IF(ISNUMBER(IF(D_I="SI",Datos!K17,Datos!K17+Datos!AE17)),IF(D_I="SI",Datos!K17,Datos!K17+Datos!AE17)," - ")</f>
        <v>307</v>
      </c>
      <c r="H17" s="407">
        <f>IF(ISNUMBER(G17/B17),G17/B17," - ")</f>
        <v>307</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2275</v>
      </c>
      <c r="D18" s="853" t="str">
        <f>IF(ISNUMBER(C18/Datos!BI18),C18/Datos!BI18," - ")</f>
        <v xml:space="preserve"> - </v>
      </c>
      <c r="E18" s="852">
        <f>SUBTOTAL(9,E14:E17)</f>
        <v>2455</v>
      </c>
      <c r="F18" s="853">
        <f>IF(ISNUMBER(E18/B18),E18/B18," - ")</f>
        <v>613.75</v>
      </c>
      <c r="G18" s="852">
        <f>SUBTOTAL(9,G14:G17)</f>
        <v>2194</v>
      </c>
      <c r="H18" s="853">
        <f>IF(ISNUMBER(G18/B18),G18/B18," - ")</f>
        <v>548.5</v>
      </c>
      <c r="I18" s="852">
        <f>SUBTOTAL(9,I14:I17)</f>
        <v>2555</v>
      </c>
      <c r="J18" s="853">
        <f>IF(ISNUMBER(I18/B18),I18/B18," - ")</f>
        <v>638.75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4945</v>
      </c>
      <c r="D19" s="798" t="str">
        <f>IF(ISNUMBER(C19/Datos!BI19),C19/Datos!BI19," - ")</f>
        <v xml:space="preserve"> - </v>
      </c>
      <c r="E19" s="797">
        <f>SUBTOTAL(9,E9:E18)</f>
        <v>5232</v>
      </c>
      <c r="F19" s="798">
        <f>IF(ISNUMBER(E19/B19),E19/B19," - ")</f>
        <v>523.20000000000005</v>
      </c>
      <c r="G19" s="797">
        <f>SUBTOTAL(9,G9:G18)</f>
        <v>4548</v>
      </c>
      <c r="H19" s="798">
        <f>IF(ISNUMBER(G19/B19),G19/B19," - ")</f>
        <v>454.8</v>
      </c>
      <c r="I19" s="797">
        <f>SUBTOTAL(9,I9:I18)</f>
        <v>5649</v>
      </c>
      <c r="J19" s="798">
        <f>IF(ISNUMBER(I19/B19),I19/B19," - ")</f>
        <v>564.9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CTWpy9/OdtRMKl4j1ZOQEMXN2mnCCzQugZHkhilm2lKBDWjdMEj4Ex3tCwcACb1kQmbWKFw9N/ahSlVCUygHQ==" saltValue="eepAWm5miPDskdC+lN/a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DENIA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5.8421052631578956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0</v>
      </c>
      <c r="AE13" s="942">
        <f t="shared" si="1"/>
        <v>0</v>
      </c>
      <c r="AF13" s="942">
        <f t="shared" si="1"/>
        <v>74</v>
      </c>
      <c r="AG13" s="942">
        <f t="shared" si="1"/>
        <v>0</v>
      </c>
      <c r="AH13" s="942">
        <f t="shared" si="1"/>
        <v>0</v>
      </c>
      <c r="AI13" s="942">
        <f t="shared" si="1"/>
        <v>0</v>
      </c>
      <c r="AJ13" s="942">
        <f t="shared" si="1"/>
        <v>0</v>
      </c>
      <c r="AK13" s="942">
        <f t="shared" si="1"/>
        <v>0</v>
      </c>
      <c r="AL13" s="942">
        <f t="shared" si="1"/>
        <v>19</v>
      </c>
      <c r="AM13" s="942">
        <f t="shared" si="1"/>
        <v>16</v>
      </c>
      <c r="AN13" s="942">
        <f t="shared" si="1"/>
        <v>0</v>
      </c>
      <c r="AO13" s="942">
        <f t="shared" si="1"/>
        <v>0</v>
      </c>
      <c r="AP13" s="947">
        <f>IF(ISNUMBER(((Datos!L13/Datos!K13)*11)/factor_trimestre),((Datos!L13/Datos!K13)*11)/factor_trimestre," - ")</f>
        <v>4.2089761570827493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-0.56716417910447758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3.4936189608021881</v>
      </c>
      <c r="AQ18" s="947">
        <f>IF(ISNUMBER(((Datos!M18/Datos!L18)*11)/factor_trimestre),((Datos!M18/Datos!L18)*11)/factor_trimestre," - ")</f>
        <v>0.41448140900195701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1.2698412698412698E-2</v>
      </c>
      <c r="AW18" s="949">
        <f>IF(ISNUMBER((Datos!Q18-Datos!R18)/(Datos!S18-Datos!Q18+Datos!R18)),(Datos!Q18-Datos!R18)/(Datos!S18-Datos!Q18+Datos!R18)," - ")</f>
        <v>-0.11311172668513389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0</v>
      </c>
      <c r="AE19" s="960">
        <f t="shared" si="5"/>
        <v>0</v>
      </c>
      <c r="AF19" s="961">
        <f t="shared" si="5"/>
        <v>74</v>
      </c>
      <c r="AG19" s="961">
        <f t="shared" si="5"/>
        <v>0</v>
      </c>
      <c r="AH19" s="961">
        <f t="shared" si="5"/>
        <v>0</v>
      </c>
      <c r="AI19" s="961">
        <f t="shared" si="5"/>
        <v>0</v>
      </c>
      <c r="AJ19" s="962">
        <f t="shared" si="5"/>
        <v>0</v>
      </c>
      <c r="AK19" s="962">
        <f t="shared" si="5"/>
        <v>0</v>
      </c>
      <c r="AL19" s="954">
        <f t="shared" si="5"/>
        <v>19</v>
      </c>
      <c r="AM19" s="954">
        <f t="shared" si="5"/>
        <v>16</v>
      </c>
      <c r="AN19" s="954">
        <f t="shared" si="5"/>
        <v>0</v>
      </c>
      <c r="AO19" s="954">
        <f t="shared" si="5"/>
        <v>0</v>
      </c>
      <c r="AP19" s="954">
        <f>IF(ISNUMBER(((Datos!L19/Datos!K19)*11)/factor_trimestre),((Datos!L19/Datos!K19)*11)/factor_trimestre," - ")</f>
        <v>3.846757442880222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-0.56716417910447758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4.0949950061036508E-2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3.2659863237109041</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10.96965511460289</v>
      </c>
      <c r="AM21" s="739"/>
      <c r="AN21" s="739">
        <f>IF(ISNUMBER(STDEV(AN8:AN18)),STDEV(AN8:AN18),"-")</f>
        <v>0</v>
      </c>
      <c r="AO21" s="745">
        <f>IF(ISNUMBER(STDEV(AO8:AO18)),STDEV(AO8:AO18),"-")</f>
        <v>0</v>
      </c>
      <c r="AP21" s="782">
        <f>IF(ISNUMBER(STDEV(AP8:AP18)),STDEV(AP8:AP18),"-")</f>
        <v>1.2037603933599466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8U4znH3/nR6OJmEDi/MhjmRiKpXGJAjhXloFe60VG1DxH/vh1sVDkNIiy9Q6+rPTJPsQG7sO/2lUqmtBk3LFw==" saltValue="JYn0nVO4efIpxUTo99Lh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ALICANTE-ALACANT</v>
      </c>
      <c r="C3" s="418"/>
      <c r="F3" s="378"/>
      <c r="G3" s="378"/>
      <c r="H3" s="378"/>
    </row>
    <row r="4" spans="1:15" ht="13.5" thickBot="1">
      <c r="A4" s="378"/>
      <c r="B4" s="394" t="str">
        <f>Criterios!A11 &amp;"  "&amp;Criterios!B11</f>
        <v>Resumenes por Partidos Judiciales  DENIA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5pJfFoOFJUYFjo6IW5vRghm/nY2er/I/Pxd84Lc91Sbak5YE+ymQwRMZpN69CZMCypy+0VJvr5mvgVjpmnekA==" saltValue="H/LvNfGvVn/ycu37i51M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DENIA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465</v>
      </c>
      <c r="E9" s="407">
        <f t="shared" ref="E9:E13" si="0">IF(ISNUMBER(D9/B9),D9/B9," - ")</f>
        <v>77.5</v>
      </c>
      <c r="F9" s="406">
        <f>IF(ISNUMBER(Datos!N9),Datos!N9," - ")</f>
        <v>922</v>
      </c>
      <c r="G9" s="407">
        <f t="shared" ref="G9:G13" si="1">IF(ISNUMBER(F9/B9),F9/B9," - ")</f>
        <v>153.66666666666666</v>
      </c>
      <c r="H9" s="406">
        <f>IF(ISNUMBER(Datos!O9),Datos!O9," - ")</f>
        <v>1206</v>
      </c>
      <c r="I9" s="407">
        <f>IF(ISNUMBER(H9/B9),H9/B9," - ")</f>
        <v>201</v>
      </c>
    </row>
    <row r="10" spans="1:9">
      <c r="A10" s="405" t="str">
        <f>Datos!A10</f>
        <v>Jdos. Violencia contra la mujer</v>
      </c>
      <c r="B10" s="430">
        <f>Datos!AO10</f>
        <v>1</v>
      </c>
      <c r="C10" s="413">
        <f>Datos!AQ10</f>
        <v>1</v>
      </c>
      <c r="D10" s="406">
        <f>IF(ISNUMBER(Datos!M10),Datos!M10," - ")</f>
        <v>19</v>
      </c>
      <c r="E10" s="407">
        <f>IF(ISNUMBER(D10/B10),D10/B10," - ")</f>
        <v>19</v>
      </c>
      <c r="F10" s="406">
        <f>IF(ISNUMBER(Datos!N10),Datos!N10," - ")</f>
        <v>16</v>
      </c>
      <c r="G10" s="407">
        <f>IF(ISNUMBER(F10/B10),F10/B10," - ")</f>
        <v>16</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484</v>
      </c>
      <c r="E13" s="853">
        <f t="shared" si="0"/>
        <v>69.142857142857139</v>
      </c>
      <c r="F13" s="852">
        <f>SUBTOTAL(9,F9:F12)</f>
        <v>938</v>
      </c>
      <c r="G13" s="853">
        <f t="shared" si="1"/>
        <v>134</v>
      </c>
      <c r="H13" s="852">
        <f>SUBTOTAL(9,H9:H12)</f>
        <v>1212</v>
      </c>
      <c r="I13" s="853">
        <f>IF(ISNUMBER(H13/B13),H13/B13," - ")</f>
        <v>173.14285714285714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299</v>
      </c>
      <c r="E15" s="407">
        <f t="shared" ref="E15:E18" si="3">IF(ISNUMBER(D15/B15),D15/B15," - ")</f>
        <v>99.666666666666671</v>
      </c>
      <c r="F15" s="406">
        <f>IF(ISNUMBER(Datos!N15),Datos!N15," - ")</f>
        <v>1054</v>
      </c>
      <c r="G15" s="407">
        <f t="shared" ref="G15:G18" si="4">IF(ISNUMBER(F15/B15),F15/B15," - ")</f>
        <v>351.33333333333331</v>
      </c>
      <c r="H15" s="406">
        <f>IF(ISNUMBER(Datos!O15),Datos!O15," - ")</f>
        <v>37</v>
      </c>
      <c r="I15" s="407">
        <f t="shared" ref="I15:I17" si="5">IF(ISNUMBER(H15/B15),H15/B15," - ")</f>
        <v>12.333333333333334</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54</v>
      </c>
      <c r="E17" s="407">
        <f>IF(ISNUMBER(D17/B17),D17/B17," - ")</f>
        <v>54</v>
      </c>
      <c r="F17" s="406">
        <f>IF(ISNUMBER(Datos!N17),Datos!N17," - ")</f>
        <v>160</v>
      </c>
      <c r="G17" s="407">
        <f>IF(ISNUMBER(F17/B17),F17/B17," - ")</f>
        <v>160</v>
      </c>
      <c r="H17" s="406">
        <f>IF(ISNUMBER(Datos!O17),Datos!O17," - ")</f>
        <v>8</v>
      </c>
      <c r="I17" s="407">
        <f t="shared" si="5"/>
        <v>8</v>
      </c>
    </row>
    <row r="18" spans="1:9" ht="14.25" thickTop="1" thickBot="1">
      <c r="A18" s="851" t="str">
        <f>Datos!A18</f>
        <v>TOTAL</v>
      </c>
      <c r="B18" s="852">
        <f>Datos!AO18</f>
        <v>4</v>
      </c>
      <c r="C18" s="854">
        <f>Datos!AR18</f>
        <v>4</v>
      </c>
      <c r="D18" s="852">
        <f>SUBTOTAL(9,D15:D17)</f>
        <v>353</v>
      </c>
      <c r="E18" s="853">
        <f t="shared" si="3"/>
        <v>88.25</v>
      </c>
      <c r="F18" s="852">
        <f>SUBTOTAL(9,F15:F17)</f>
        <v>1214</v>
      </c>
      <c r="G18" s="853">
        <f t="shared" si="4"/>
        <v>303.5</v>
      </c>
      <c r="H18" s="852">
        <f>SUBTOTAL(9,H15:H17)</f>
        <v>45</v>
      </c>
      <c r="I18" s="853">
        <f>IF(ISNUMBER(H18/B18),H18/B18," - ")</f>
        <v>11.25</v>
      </c>
    </row>
    <row r="19" spans="1:9" ht="14.25" thickTop="1" thickBot="1">
      <c r="A19" s="796" t="str">
        <f>Datos!A19</f>
        <v>TOTAL JURISDICCIONES</v>
      </c>
      <c r="B19" s="797">
        <f>Datos!AP19</f>
        <v>10</v>
      </c>
      <c r="C19" s="797">
        <f>Datos!AR19</f>
        <v>10</v>
      </c>
      <c r="D19" s="797">
        <f>SUBTOTAL(9,D8:D18)</f>
        <v>837</v>
      </c>
      <c r="E19" s="798">
        <f>IF(ISNUMBER(D19/B19),D19/B19," - ")</f>
        <v>83.7</v>
      </c>
      <c r="F19" s="797">
        <f>SUBTOTAL(9,F8:F18)</f>
        <v>2152</v>
      </c>
      <c r="G19" s="798">
        <f>IF(ISNUMBER(F19/B19),F19/B19," - ")</f>
        <v>215.2</v>
      </c>
      <c r="H19" s="797">
        <f>SUBTOTAL(9,H8:H18)</f>
        <v>1257</v>
      </c>
      <c r="I19" s="798">
        <f>IF(ISNUMBER(H19/B19),H19/B19," - ")</f>
        <v>125.7</v>
      </c>
    </row>
    <row r="22" spans="1:9">
      <c r="A22" s="394" t="str">
        <f>Criterios!A4</f>
        <v>Fecha Informe: 07 mar. 2024</v>
      </c>
    </row>
    <row r="27" spans="1:9">
      <c r="A27" s="417"/>
    </row>
  </sheetData>
  <sheetProtection algorithmName="SHA-512" hashValue="If206toVxC2ycGkzGf5e6tICOxdJjCqmZej3BAx96sZTYXf/IyozLyCjmvjE81nUvhkuPHsC/O3YRLGpZ1EVxA==" saltValue="AOmQR9ggToGKB5cAwjnA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DENIA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688</v>
      </c>
      <c r="C9" s="437">
        <f>IF(ISNUMBER(Datos!Q9),Datos!Q9," - ")</f>
        <v>325</v>
      </c>
      <c r="D9" s="411">
        <f>IF(ISNUMBER(Datos!R9),Datos!R9," - ")</f>
        <v>9031</v>
      </c>
    </row>
    <row r="10" spans="1:4">
      <c r="A10" s="405" t="str">
        <f>Datos!A10</f>
        <v>Jdos. Violencia contra la mujer</v>
      </c>
      <c r="B10" s="436">
        <f>IF(ISNUMBER(Datos!P10),Datos!P10," - ")</f>
        <v>5</v>
      </c>
      <c r="C10" s="437">
        <f>IF(ISNUMBER(Datos!Q10),Datos!Q10," - ")</f>
        <v>3</v>
      </c>
      <c r="D10" s="411">
        <f>IF(ISNUMBER(Datos!R10),Datos!R10," - ")</f>
        <v>30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693</v>
      </c>
      <c r="C13" s="856">
        <f>SUBTOTAL(9,C9:C12)</f>
        <v>328</v>
      </c>
      <c r="D13" s="854">
        <f>SUBTOTAL(9,D9:D12)</f>
        <v>9061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71</v>
      </c>
      <c r="C15" s="437">
        <f>IF(ISNUMBER(Datos!Q15),Datos!Q15," - ")</f>
        <v>65</v>
      </c>
      <c r="D15" s="411">
        <f>IF(ISNUMBER(Datos!R15),Datos!R15," - ")</f>
        <v>297</v>
      </c>
    </row>
    <row r="16" spans="1:4">
      <c r="A16" s="405" t="str">
        <f>Datos!A16</f>
        <v xml:space="preserve">Jdos. 1ª Instª. e Instr.                        </v>
      </c>
      <c r="B16" s="436">
        <f>IF(ISNUMBER(Datos!P16),Datos!P16," - ")</f>
        <v>0</v>
      </c>
      <c r="C16" s="437">
        <f>IF(ISNUMBER(Datos!Q16),Datos!Q16," - ")</f>
        <v>1</v>
      </c>
      <c r="D16" s="411">
        <f>IF(ISNUMBER(Datos!R16),Datos!R16," - ")</f>
        <v>6</v>
      </c>
    </row>
    <row r="17" spans="1:4" ht="13.5" thickBot="1">
      <c r="A17" s="405" t="str">
        <f>Datos!A17</f>
        <v>Jdos. Violencia contra la mujer</v>
      </c>
      <c r="B17" s="436">
        <f>IF(ISNUMBER(Datos!P17),Datos!P17," - ")</f>
        <v>7</v>
      </c>
      <c r="C17" s="437">
        <f>IF(ISNUMBER(Datos!Q17),Datos!Q17," - ")</f>
        <v>8</v>
      </c>
      <c r="D17" s="411">
        <f>IF(ISNUMBER(Datos!R17),Datos!R17," - ")</f>
        <v>16</v>
      </c>
    </row>
    <row r="18" spans="1:4" ht="14.25" thickTop="1" thickBot="1">
      <c r="A18" s="851" t="str">
        <f>Datos!A18</f>
        <v>TOTAL</v>
      </c>
      <c r="B18" s="852">
        <f>SUBTOTAL(9,B15:B17)</f>
        <v>78</v>
      </c>
      <c r="C18" s="856">
        <f>SUBTOTAL(9,C15:C17)</f>
        <v>74</v>
      </c>
      <c r="D18" s="854">
        <f>SUBTOTAL(9,D15:D17)</f>
        <v>319</v>
      </c>
    </row>
    <row r="19" spans="1:4" ht="16.5" customHeight="1" thickTop="1" thickBot="1">
      <c r="A19" s="796" t="str">
        <f>Datos!A19</f>
        <v>TOTAL JURISDICCIONES</v>
      </c>
      <c r="B19" s="801">
        <f>SUBTOTAL(9,B8:B18)</f>
        <v>771</v>
      </c>
      <c r="C19" s="802">
        <f>SUBTOTAL(9,C8:C18)</f>
        <v>402</v>
      </c>
      <c r="D19" s="803">
        <f>SUBTOTAL(9,D8:D18)</f>
        <v>9380</v>
      </c>
    </row>
    <row r="20" spans="1:4" ht="7.5" customHeight="1"/>
    <row r="21" spans="1:4" ht="6" customHeight="1"/>
    <row r="22" spans="1:4">
      <c r="A22" s="394" t="str">
        <f>Criterios!A4</f>
        <v>Fecha Informe: 07 mar. 2024</v>
      </c>
    </row>
    <row r="27" spans="1:4">
      <c r="A27" s="417"/>
    </row>
  </sheetData>
  <sheetProtection algorithmName="SHA-512" hashValue="70c0bVZPw8FC3cbooHHb/7reUbA6yRjVCkAawUtnNYDFQ8oL03V9R3XlROhL8TWEI1RkD7ccvYJPqjISKD6m4w==" saltValue="o8pUADsmDSRKw/tvy2u0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DENIA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-4.1605301914580263E-2</v>
      </c>
      <c r="C9" s="459">
        <f>IF(ISNUMBER(
   IF(J_V="SI",(Datos!J9-Datos!T9)/Datos!T9,(Datos!J9+Datos!Z9-(Datos!T9+Datos!AH9))/(Datos!T9+Datos!AH9))
     ),IF(J_V="SI",(Datos!J9-Datos!T9)/Datos!T9,(Datos!J9+Datos!Z9-(Datos!T9+Datos!AH9))/(Datos!T9+Datos!AH9))," - ")</f>
        <v>0.33724914341654427</v>
      </c>
      <c r="D9" s="459">
        <f>IF(ISNUMBER(
   IF(J_V="SI",(Datos!K9-Datos!U9)/Datos!U9,(Datos!K9+Datos!AA9-(Datos!U9+Datos!AI9))/(Datos!U9+Datos!AI9))
     ),IF(J_V="SI",(Datos!K9-Datos!U9)/Datos!U9,(Datos!K9+Datos!AA9-(Datos!U9+Datos!AI9))/(Datos!U9+Datos!AI9))," - ")</f>
        <v>4.843820733363513E-2</v>
      </c>
      <c r="E9" s="459">
        <f>IF(ISNUMBER(
   IF(J_V="SI",(Datos!L9-Datos!V9)/Datos!V9,(Datos!L9+Datos!AB9-(Datos!V9+Datos!AJ9))/(Datos!V9+Datos!AJ9))
     ),IF(J_V="SI",(Datos!L9-Datos!V9)/Datos!V9,(Datos!L9+Datos!AB9-(Datos!V9+Datos!AJ9))/(Datos!V9+Datos!AJ9))," - ")</f>
        <v>0.18431372549019609</v>
      </c>
      <c r="F9" s="459">
        <f>IF(ISNUMBER((Datos!M9-Datos!W9)/Datos!W9),(Datos!M9-Datos!W9)/Datos!W9," - ")</f>
        <v>-9.8837209302325577E-2</v>
      </c>
      <c r="G9" s="460">
        <f>IF(ISNUMBER((Datos!N9-Datos!X9)/Datos!X9),(Datos!N9-Datos!X9)/Datos!X9," - ")</f>
        <v>-1.6008537886872998E-2</v>
      </c>
      <c r="H9" s="458">
        <f>IF(ISNUMBER(((NºAsuntos!G9/NºAsuntos!E9)-Datos!BD9)/Datos!BD9),((NºAsuntos!G9/NºAsuntos!E9)-Datos!BD9)/Datos!BD9," - ")</f>
        <v>-0.21597391742949607</v>
      </c>
      <c r="I9" s="459">
        <f>IF(ISNUMBER(((NºAsuntos!I9/NºAsuntos!G9)-Datos!BE9)/Datos!BE9),((NºAsuntos!I9/NºAsuntos!G9)-Datos!BE9)/Datos!BE9," - ")</f>
        <v>0.12959802228317913</v>
      </c>
      <c r="J9" s="464">
        <f>IF(ISNUMBER((('Resol  Asuntos'!D9/NºAsuntos!G9)-Datos!BF9)/Datos!BF9),(('Resol  Asuntos'!D9/NºAsuntos!G9)-Datos!BF9)/Datos!BF9," - ")</f>
        <v>-0.52666292488982036</v>
      </c>
      <c r="K9" s="465">
        <f>IF(ISNUMBER((((NºAsuntos!C9+NºAsuntos!E9)/NºAsuntos!G9)-Datos!BG9)/Datos!BG9),(((NºAsuntos!C9+NºAsuntos!E9)/NºAsuntos!G9)-Datos!BG9)/Datos!BG9," - ")</f>
        <v>6.924168043024391E-2</v>
      </c>
    </row>
    <row r="10" spans="1:11">
      <c r="A10" s="405" t="str">
        <f>Datos!A10</f>
        <v>Jdos. Violencia contra la mujer</v>
      </c>
      <c r="B10" s="458">
        <f>IF(ISNUMBER((Datos!I10-Datos!S10)/Datos!S10),(Datos!I10-Datos!S10)/Datos!S10," - ")</f>
        <v>-0.26373626373626374</v>
      </c>
      <c r="C10" s="459">
        <f>IF(ISNUMBER((Datos!J10-Datos!T10)/Datos!T10),(Datos!J10-Datos!T10)/Datos!T10," - ")</f>
        <v>0.5</v>
      </c>
      <c r="D10" s="459">
        <f>IF(ISNUMBER((Datos!K10-Datos!U10)/Datos!U10),(Datos!K10-Datos!U10)/Datos!U10," - ")</f>
        <v>0.58333333333333337</v>
      </c>
      <c r="E10" s="459">
        <f>IF(ISNUMBER((Datos!L10-Datos!V10)/Datos!V10),(Datos!L10-Datos!V10)/Datos!V10," - ")</f>
        <v>-0.23711340206185566</v>
      </c>
      <c r="F10" s="459">
        <f>IF(ISNUMBER((Datos!M10-Datos!W10)/Datos!W10),(Datos!M10-Datos!W10)/Datos!W10," - ")</f>
        <v>2.1666666666666665</v>
      </c>
      <c r="G10" s="460">
        <f>IF(ISNUMBER((Datos!N10-Datos!X10)/Datos!X10),(Datos!N10-Datos!X10)/Datos!X10," - ")</f>
        <v>-5.8823529411764705E-2</v>
      </c>
      <c r="H10" s="458">
        <f>IF(ISNUMBER(((NºAsuntos!G10/NºAsuntos!E10)-Datos!BD10)/Datos!BD10),((NºAsuntos!G10/NºAsuntos!E10)-Datos!BD10)/Datos!BD10," - ")</f>
        <v>5.5555555555555497E-2</v>
      </c>
      <c r="I10" s="459">
        <f>IF(ISNUMBER(((NºAsuntos!I10/NºAsuntos!G10)-Datos!BE10)/Datos!BE10),((NºAsuntos!I10/NºAsuntos!G10)-Datos!BE10)/Datos!BE10," - ")</f>
        <v>-0.51817688551275087</v>
      </c>
      <c r="J10" s="464">
        <f>IF(ISNUMBER((('Resol  Asuntos'!D10/NºAsuntos!G10)-Datos!BF10)/Datos!BF10),(('Resol  Asuntos'!D10/NºAsuntos!G10)-Datos!BF10)/Datos!BF10," - ")</f>
        <v>1</v>
      </c>
      <c r="K10" s="465">
        <f>IF(ISNUMBER((((NºAsuntos!C10+NºAsuntos!E10)/NºAsuntos!G10)-Datos!BG10)/Datos!BG10),(((NºAsuntos!C10+NºAsuntos!E10)/NºAsuntos!G10)-Datos!BG10)/Datos!BG10," - ")</f>
        <v>-0.41539799913005659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-4.8806555040969007E-2</v>
      </c>
      <c r="C13" s="858">
        <f>IF(ISNUMBER(
   IF(J_V="SI",(Datos!J13-Datos!T13)/Datos!T13,(Datos!J13+Datos!Z13-(Datos!T13+Datos!AH13))/(Datos!T13+Datos!AH13))
     ),IF(J_V="SI",(Datos!J13-Datos!T13)/Datos!T13,(Datos!J13+Datos!Z13-(Datos!T13+Datos!AH13))/(Datos!T13+Datos!AH13))," - ")</f>
        <v>0.3396044380125422</v>
      </c>
      <c r="D13" s="858">
        <f>IF(ISNUMBER(
   IF(J_V="SI",(Datos!K13-Datos!U13)/Datos!U13,(Datos!K13+Datos!AA13-(Datos!U13+Datos!AI13))/(Datos!U13+Datos!AI13))
     ),IF(J_V="SI",(Datos!K13-Datos!U13)/Datos!U13,(Datos!K13+Datos!AA13-(Datos!U13+Datos!AI13))/(Datos!U13+Datos!AI13))," - ")</f>
        <v>5.4187192118226604E-2</v>
      </c>
      <c r="E13" s="858">
        <f>IF(ISNUMBER(
   IF(J_V="SI",(Datos!L13-Datos!V13)/Datos!V13,(Datos!L13+Datos!AB13-(Datos!V13+Datos!AJ13))/(Datos!V13+Datos!AJ13))
     ),IF(J_V="SI",(Datos!L13-Datos!V13)/Datos!V13,(Datos!L13+Datos!AB13-(Datos!V13+Datos!AJ13))/(Datos!V13+Datos!AJ13))," - ")</f>
        <v>0.16887041934265207</v>
      </c>
      <c r="F13" s="859">
        <f>IF(ISNUMBER((Datos!M13-Datos!W13)/Datos!W13),(Datos!M13-Datos!W13)/Datos!W13," - ")</f>
        <v>-7.2796934865900387E-2</v>
      </c>
      <c r="G13" s="860">
        <f>IF(ISNUMBER((Datos!N13-Datos!X13)/Datos!X13),(Datos!N13-Datos!X13)/Datos!X13," - ")</f>
        <v>-1.6771488469601678E-2</v>
      </c>
      <c r="H13" s="860">
        <f>IF(ISNUMBER(((NºAsuntos!G13/NºAsuntos!E13)-Datos!BD13)/Datos!BD13),((NºAsuntos!G13/NºAsuntos!E13)-Datos!BD13)/Datos!BD13," - ")</f>
        <v>-0.21306083930101419</v>
      </c>
      <c r="I13" s="860">
        <f>IF(ISNUMBER(((NºAsuntos!I13/NºAsuntos!G13)-Datos!BE13)/Datos!BE13),((NºAsuntos!I13/NºAsuntos!G13)-Datos!BE13)/Datos!BE13," - ")</f>
        <v>0.10878829498391752</v>
      </c>
      <c r="J13" s="860">
        <f>IF(ISNUMBER((('Resol  Asuntos'!D13/NºAsuntos!G13)-Datos!BF13)/Datos!BF13),(('Resol  Asuntos'!D13/NºAsuntos!G13)-Datos!BF13)/Datos!BF13," - ")</f>
        <v>-0.51312672817910632</v>
      </c>
      <c r="K13" s="860">
        <f>IF(ISNUMBER((((NºAsuntos!C13+NºAsuntos!E13)/NºAsuntos!G13)-Datos!BG13)/Datos!BG13),(((NºAsuntos!C13+NºAsuntos!E13)/NºAsuntos!G13)-Datos!BG13)/Datos!BG13," - ")</f>
        <v>5.8814348092538687E-2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0.19061085972850678</v>
      </c>
      <c r="C15" s="459">
        <f>IF(ISNUMBER(
   IF(D_I="SI",(Datos!J15-Datos!T15)/Datos!T15,(Datos!J15+Datos!AD15-(Datos!T15+Datos!AL15))/(Datos!T15+Datos!AL15))
     ),IF(D_I="SI",(Datos!J15-Datos!T15)/Datos!T15,(Datos!J15+Datos!AD15-(Datos!T15+Datos!AL15))/(Datos!T15+Datos!AL15))," - ")</f>
        <v>0.171960569550931</v>
      </c>
      <c r="D15" s="459">
        <f>IF(ISNUMBER(
   IF(D_I="SI",(Datos!K15-Datos!U15)/Datos!U15,(Datos!K15+Datos!AE15-(Datos!U15+Datos!AM15))/(Datos!U15+Datos!AM15))
     ),IF(D_I="SI",(Datos!K15-Datos!U15)/Datos!U15,(Datos!K15+Datos!AE15-(Datos!U15+Datos!AM15))/(Datos!U15+Datos!AM15))," - ")</f>
        <v>4.2541436464088395E-2</v>
      </c>
      <c r="E15" s="459">
        <f>IF(ISNUMBER(
   IF(D_I="SI",(Datos!L15-Datos!V15)/Datos!V15,(Datos!L15+Datos!AF15-(Datos!V15+Datos!AN15))/(Datos!V15+Datos!AN15))
     ),IF(D_I="SI",(Datos!L15-Datos!V15)/Datos!V15,(Datos!L15+Datos!AF15-(Datos!V15+Datos!AN15))/(Datos!V15+Datos!AN15))," - ")</f>
        <v>0.31198233020430699</v>
      </c>
      <c r="F15" s="459">
        <f>IF(ISNUMBER((Datos!M15-Datos!W15)/Datos!W15),(Datos!M15-Datos!W15)/Datos!W15," - ")</f>
        <v>0.10332103321033211</v>
      </c>
      <c r="G15" s="460">
        <f>IF(ISNUMBER((Datos!N15-Datos!X15)/Datos!X15),(Datos!N15-Datos!X15)/Datos!X15," - ")</f>
        <v>3.8095238095238095E-3</v>
      </c>
      <c r="H15" s="458">
        <f>IF(ISNUMBER(((NºAsuntos!G15/NºAsuntos!E15)-Datos!BD15)/Datos!BD15),((NºAsuntos!G15/NºAsuntos!E15)-Datos!BD15)/Datos!BD15," - ")</f>
        <v>-0.11042959673671703</v>
      </c>
      <c r="I15" s="459">
        <f>IF(ISNUMBER(((NºAsuntos!I15/NºAsuntos!G15)-Datos!BE15)/Datos!BE15),((NºAsuntos!I15/NºAsuntos!G15)-Datos!BE15)/Datos!BE15," - ")</f>
        <v>0.25844622028076097</v>
      </c>
      <c r="J15" s="464">
        <f>IF(ISNUMBER((('Resol  Asuntos'!D15/NºAsuntos!G15)-Datos!BF15)/Datos!BF15),(('Resol  Asuntos'!D15/NºAsuntos!G15)-Datos!BF15)/Datos!BF15," - ")</f>
        <v>5.8299454218707608E-2</v>
      </c>
      <c r="K15" s="465">
        <f>IF(ISNUMBER((((NºAsuntos!C15+NºAsuntos!E15)/NºAsuntos!G15)-Datos!BG15)/Datos!BG15),(((NºAsuntos!C15+NºAsuntos!E15)/NºAsuntos!G15)-Datos!BG15)/Datos!BG15," - ")</f>
        <v>0.13293839847900549</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-0.125</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0.12408759124087591</v>
      </c>
      <c r="C17" s="459">
        <f>IF(ISNUMBER(
   IF(D_I="SI",(Datos!J17-Datos!T17)/Datos!T17,(Datos!J17+Datos!AD17-(Datos!T17+Datos!AL17))/(Datos!T17+Datos!AL17))
     ),IF(D_I="SI",(Datos!J17-Datos!T17)/Datos!T17,(Datos!J17+Datos!AD17-(Datos!T17+Datos!AL17))/(Datos!T17+Datos!AL17))," - ")</f>
        <v>9.6153846153846159E-3</v>
      </c>
      <c r="D17" s="459">
        <f>IF(ISNUMBER(
   IF(D_I="SI",(Datos!K17-Datos!U17)/Datos!U17,(Datos!K17+Datos!AE17-(Datos!U17+Datos!AM17))/(Datos!U17+Datos!AM17))
     ),IF(D_I="SI",(Datos!K17-Datos!U17)/Datos!U17,(Datos!K17+Datos!AE17-(Datos!U17+Datos!AM17))/(Datos!U17+Datos!AM17))," - ")</f>
        <v>0.14981273408239701</v>
      </c>
      <c r="E17" s="459">
        <f>IF(ISNUMBER(
   IF(D_I="SI",(Datos!L17-Datos!V17)/Datos!V17,(Datos!L17+Datos!AF17-(Datos!V17+Datos!AN17))/(Datos!V17+Datos!AN17))
     ),IF(D_I="SI",(Datos!L17-Datos!V17)/Datos!V17,(Datos!L17+Datos!AF17-(Datos!V17+Datos!AN17))/(Datos!V17+Datos!AN17))," - ")</f>
        <v>-9.3406593406593408E-2</v>
      </c>
      <c r="F17" s="459">
        <f>IF(ISNUMBER((Datos!M17-Datos!W17)/Datos!W17),(Datos!M17-Datos!W17)/Datos!W17," - ")</f>
        <v>-0.1</v>
      </c>
      <c r="G17" s="460">
        <f>IF(ISNUMBER((Datos!N17-Datos!X17)/Datos!X17),(Datos!N17-Datos!X17)/Datos!X17," - ")</f>
        <v>0.45454545454545453</v>
      </c>
      <c r="H17" s="458">
        <f>IF(ISNUMBER(((NºAsuntos!G17/NºAsuntos!E17)-Datos!BD17)/Datos!BD17),((NºAsuntos!G17/NºAsuntos!E17)-Datos!BD17)/Datos!BD17," - ")</f>
        <v>0.13886213661494565</v>
      </c>
      <c r="I17" s="459">
        <f>IF(ISNUMBER(((NºAsuntos!I17/NºAsuntos!G17)-Datos!BE17)/Datos!BE17),((NºAsuntos!I17/NºAsuntos!G17)-Datos!BE17)/Datos!BE17," - ")</f>
        <v>-0.21152951283244439</v>
      </c>
      <c r="J17" s="464">
        <f>IF(ISNUMBER((('Resol  Asuntos'!D17/NºAsuntos!G17)-Datos!BF17)/Datos!BF17),(('Resol  Asuntos'!D17/NºAsuntos!G17)-Datos!BF17)/Datos!BF17," - ")</f>
        <v>-0.21726384364820847</v>
      </c>
      <c r="K17" s="465">
        <f>IF(ISNUMBER((((NºAsuntos!C17+NºAsuntos!E17)/NºAsuntos!G17)-Datos!BG17)/Datos!BG17),(((NºAsuntos!C17+NºAsuntos!E17)/NºAsuntos!G17)-Datos!BG17)/Datos!BG17," - ")</f>
        <v>-9.1553433979237306E-2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0.18427902134305049</v>
      </c>
      <c r="C18" s="858">
        <f>IF(ISNUMBER(
   IF(Criterios!B14="SI",(Datos!J18-Datos!T18)/Datos!T18,(Datos!J18+Datos!AD18-(Datos!T18+Datos!AL18))/(Datos!T18+Datos!AL18))
     ),IF(Criterios!B14="SI",(Datos!J18-Datos!T18)/Datos!T18,(Datos!J18+Datos!AD18-(Datos!T18+Datos!AL18))/(Datos!T18+Datos!AL18))," - ")</f>
        <v>0.14826941066417212</v>
      </c>
      <c r="D18" s="858">
        <f>IF(ISNUMBER(
   IF(Criterios!B14="SI",(Datos!K18-Datos!U18)/Datos!U18,(Datos!K18+Datos!AE18-(Datos!U18+Datos!AM18))/(Datos!U18+Datos!AM18))
     ),IF(Criterios!B14="SI",(Datos!K18-Datos!U18)/Datos!U18,(Datos!K18+Datos!AE18-(Datos!U18+Datos!AM18))/(Datos!U18+Datos!AM18))," - ")</f>
        <v>5.6331246990852193E-2</v>
      </c>
      <c r="E18" s="858">
        <f>IF(ISNUMBER(
   IF(Criterios!B14="SI",(Datos!L18-Datos!V18)/Datos!V18,(Datos!L18+Datos!AF18-(Datos!V18+Datos!AN18))/(Datos!V18+Datos!AN18))
     ),IF(Criterios!B14="SI",(Datos!L18-Datos!V18)/Datos!V18,(Datos!L18+Datos!AF18-(Datos!V18+Datos!AN18))/(Datos!V18+Datos!AN18))," - ")</f>
        <v>0.27177700348432055</v>
      </c>
      <c r="F18" s="859">
        <f>IF(ISNUMBER((Datos!M18-Datos!W18)/Datos!W18),(Datos!M18-Datos!W18)/Datos!W18," - ")</f>
        <v>6.6465256797583083E-2</v>
      </c>
      <c r="G18" s="860">
        <f>IF(ISNUMBER((Datos!N18-Datos!X18)/Datos!X18),(Datos!N18-Datos!X18)/Datos!X18," - ")</f>
        <v>4.6551724137931037E-2</v>
      </c>
      <c r="H18" s="860">
        <f>IF(ISNUMBER(((NºAsuntos!G18/NºAsuntos!E18)-Datos!BD18)/Datos!BD18),((NºAsuntos!G18/NºAsuntos!E18)-Datos!BD18)/Datos!BD18," - ")</f>
        <v>-8.0066718506540971E-2</v>
      </c>
      <c r="I18" s="860">
        <f>IF(ISNUMBER(((NºAsuntos!I18/NºAsuntos!G18)-Datos!BE18)/Datos!BE18),((NºAsuntos!I18/NºAsuntos!G18)-Datos!BE18)/Datos!BE18," - ")</f>
        <v>0.20395662544983317</v>
      </c>
      <c r="J18" s="860">
        <f>IF(ISNUMBER((('Resol  Asuntos'!D18/NºAsuntos!G18)-Datos!BF18)/Datos!BF18),(('Resol  Asuntos'!D18/NºAsuntos!G18)-Datos!BF18)/Datos!BF18," - ")</f>
        <v>9.5935908699088194E-3</v>
      </c>
      <c r="K18" s="860">
        <f>IF(ISNUMBER((((NºAsuntos!C18+NºAsuntos!E18)/NºAsuntos!G18)-Datos!BG18)/Datos!BG18),(((NºAsuntos!C18+NºAsuntos!E18)/NºAsuntos!G18)-Datos!BG18)/Datos!BG18," - ")</f>
        <v>0.1031687800925412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4.5896785109983081E-2</v>
      </c>
      <c r="C19" s="805">
        <f>IF(ISNUMBER(
   IF(J_V="SI",(Datos!J19-Datos!T19)/Datos!T19,(Datos!J19+Datos!Z19-(Datos!T19+Datos!AH19))/(Datos!T19+Datos!AH19))
     ),IF(J_V="SI",(Datos!J19-Datos!T19)/Datos!T19,(Datos!J19+Datos!Z19-(Datos!T19+Datos!AH19))/(Datos!T19+Datos!AH19))," - ")</f>
        <v>0.24246022322488719</v>
      </c>
      <c r="D19" s="805">
        <f>IF(ISNUMBER(
   IF(J_V="SI",(Datos!K19-Datos!U19)/Datos!U19,(Datos!K19+Datos!AA19-(Datos!U19+Datos!AI19))/(Datos!U19+Datos!AI19))
     ),IF(J_V="SI",(Datos!K19-Datos!U19)/Datos!U19,(Datos!K19+Datos!AA19-(Datos!U19+Datos!AI19))/(Datos!U19+Datos!AI19))," - ")</f>
        <v>5.5220417633410672E-2</v>
      </c>
      <c r="E19" s="805">
        <f>IF(ISNUMBER(
   IF(J_V="SI",(Datos!L19-Datos!V19)/Datos!V19,(Datos!L19+Datos!AB19-(Datos!V19+Datos!AJ19))/(Datos!V19+Datos!AJ19))
     ),IF(J_V="SI",(Datos!L19-Datos!V19)/Datos!V19,(Datos!L19+Datos!AB19-(Datos!V19+Datos!AJ19))/(Datos!V19+Datos!AJ19))," - ")</f>
        <v>0.21327319587628865</v>
      </c>
      <c r="F19" s="806">
        <f>IF(ISNUMBER((Datos!M19-Datos!W19)/Datos!W19),(Datos!M19-Datos!W19)/Datos!W19," - ")</f>
        <v>-1.8757327080890972E-2</v>
      </c>
      <c r="G19" s="807">
        <f>IF(ISNUMBER((Datos!N19-Datos!X19)/Datos!X19),(Datos!N19-Datos!X19)/Datos!X19," - ")</f>
        <v>1.7975402081362345E-2</v>
      </c>
      <c r="H19" s="808">
        <f>IF(ISNUMBER((Tasas!B19-Datos!BD19)/Datos!BD19),(Tasas!B19-Datos!BD19)/Datos!BD19," - ")</f>
        <v>-0.15070084505843045</v>
      </c>
      <c r="I19" s="809">
        <f>IF(ISNUMBER((Tasas!C19-Datos!BE19)/Datos!BE19),(Tasas!C19-Datos!BE19)/Datos!BE19," - ")</f>
        <v>0.14978176654063402</v>
      </c>
      <c r="J19" s="810">
        <f>IF(ISNUMBER((Tasas!D19-Datos!BF19)/Datos!BF19),(Tasas!D19-Datos!BF19)/Datos!BF19," - ")</f>
        <v>-0.37739465585300486</v>
      </c>
      <c r="K19" s="810">
        <f>IF(ISNUMBER((Tasas!E19-Datos!BG19)/Datos!BG19),(Tasas!E19-Datos!BG19)/Datos!BG19," - ")</f>
        <v>7.8916044178253764E-2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X36NMWOOTZKY9VaY2ScIwR44hYP+s165isgBb265TssuiIONAbglcq1wIDUyTSlHAXWXfd0kU2cnmDnJ48TJw==" saltValue="OsmHupr82gq46Gb05+bM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DENIA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0.84773060029282576</v>
      </c>
      <c r="C9" s="446">
        <f>IF(ISNUMBER(NºAsuntos!I9/NºAsuntos!G9),NºAsuntos!I9/NºAsuntos!G9," - ")</f>
        <v>1.3039723661485318</v>
      </c>
      <c r="D9" s="447">
        <f>IF(ISNUMBER('Resol  Asuntos'!D9/NºAsuntos!G9),'Resol  Asuntos'!D9/NºAsuntos!G9," - ")</f>
        <v>0.20077720207253885</v>
      </c>
      <c r="E9" s="448">
        <f>IF(ISNUMBER((NºAsuntos!C9+NºAsuntos!E9)/NºAsuntos!G9),(NºAsuntos!C9+NºAsuntos!E9)/NºAsuntos!G9," - ")</f>
        <v>2.3035405872193437</v>
      </c>
      <c r="G9" s="466"/>
    </row>
    <row r="10" spans="1:7">
      <c r="A10" s="405" t="str">
        <f>Datos!A10</f>
        <v>Jdos. Violencia contra la mujer</v>
      </c>
      <c r="B10" s="445">
        <f>IF(ISNUMBER(NºAsuntos!G10/NºAsuntos!E10),NºAsuntos!G10/NºAsuntos!E10," - ")</f>
        <v>0.84444444444444444</v>
      </c>
      <c r="C10" s="446">
        <f>IF(ISNUMBER(NºAsuntos!I10/NºAsuntos!G10),NºAsuntos!I10/NºAsuntos!G10," - ")</f>
        <v>1.9473684210526316</v>
      </c>
      <c r="D10" s="447">
        <f>IF(ISNUMBER('Resol  Asuntos'!D10/NºAsuntos!G10),'Resol  Asuntos'!D10/NºAsuntos!G10," - ")</f>
        <v>0.5</v>
      </c>
      <c r="E10" s="448">
        <f>IF(ISNUMBER((NºAsuntos!C10+NºAsuntos!E10)/NºAsuntos!G10),(NºAsuntos!C10+NºAsuntos!E10)/NºAsuntos!G10," - ")</f>
        <v>2.9473684210526314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0.8476773496579042</v>
      </c>
      <c r="C13" s="862">
        <f>IF(ISNUMBER(NºAsuntos!I13/NºAsuntos!G13),NºAsuntos!I13/NºAsuntos!G13," - ")</f>
        <v>1.314358538657604</v>
      </c>
      <c r="D13" s="863">
        <f>IF(ISNUMBER('Resol  Asuntos'!D13/NºAsuntos!G13),'Resol  Asuntos'!D13/NºAsuntos!G13," - ")</f>
        <v>0.20560747663551401</v>
      </c>
      <c r="E13" s="864">
        <f>IF(ISNUMBER((NºAsuntos!C13+NºAsuntos!E13)/NºAsuntos!G13),(NºAsuntos!C13+NºAsuntos!E13)/NºAsuntos!G13," - ")</f>
        <v>2.3139337298215801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0.88177570093457946</v>
      </c>
      <c r="C15" s="446">
        <f>IF(ISNUMBER(NºAsuntos!I15/NºAsuntos!G15),NºAsuntos!I15/NºAsuntos!G15," - ")</f>
        <v>1.2591414944356121</v>
      </c>
      <c r="D15" s="447">
        <f>IF(ISNUMBER('Resol  Asuntos'!D15/NºAsuntos!G15),'Resol  Asuntos'!D15/NºAsuntos!G15," - ")</f>
        <v>0.1584525702172761</v>
      </c>
      <c r="E15" s="448">
        <f>IF(ISNUMBER((NºAsuntos!C15+NºAsuntos!E15)/NºAsuntos!G15),(NºAsuntos!C15+NºAsuntos!E15)/NºAsuntos!G15," - ")</f>
        <v>2.249602543720191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0.97460317460317458</v>
      </c>
      <c r="C17" s="446">
        <f>IF(ISNUMBER(NºAsuntos!I17/NºAsuntos!G17),NºAsuntos!I17/NºAsuntos!G17," - ")</f>
        <v>0.53745928338762217</v>
      </c>
      <c r="D17" s="447">
        <f>IF(ISNUMBER('Resol  Asuntos'!D17/NºAsuntos!G17),'Resol  Asuntos'!D17/NºAsuntos!G17," - ")</f>
        <v>0.1758957654723127</v>
      </c>
      <c r="E17" s="448">
        <f>IF(ISNUMBER((NºAsuntos!C17+NºAsuntos!E17)/NºAsuntos!G17),(NºAsuntos!C17+NºAsuntos!E17)/NºAsuntos!G17," - ")</f>
        <v>1.5276872964169381</v>
      </c>
      <c r="G17" s="466"/>
    </row>
    <row r="18" spans="1:7" ht="14.25" thickTop="1" thickBot="1">
      <c r="A18" s="851" t="str">
        <f>Datos!A18</f>
        <v>TOTAL</v>
      </c>
      <c r="B18" s="861">
        <f>IF(ISNUMBER(NºAsuntos!G18/NºAsuntos!E18),NºAsuntos!G18/NºAsuntos!E18," - ")</f>
        <v>0.89368635437881871</v>
      </c>
      <c r="C18" s="862">
        <f>IF(ISNUMBER(NºAsuntos!I18/NºAsuntos!G18),NºAsuntos!I18/NºAsuntos!G18," - ")</f>
        <v>1.1645396536007293</v>
      </c>
      <c r="D18" s="865">
        <f>IF(ISNUMBER('Resol  Asuntos'!D18/NºAsuntos!G18),'Resol  Asuntos'!D18/NºAsuntos!G18," - ")</f>
        <v>0.16089334548769371</v>
      </c>
      <c r="E18" s="864">
        <f>IF(ISNUMBER((NºAsuntos!C18+NºAsuntos!E18)/NºAsuntos!G18),(NºAsuntos!C18+NºAsuntos!E18)/NºAsuntos!G18," - ")</f>
        <v>2.1558796718322699</v>
      </c>
      <c r="G18" s="466"/>
    </row>
    <row r="19" spans="1:7" ht="15.75" customHeight="1" thickTop="1" thickBot="1">
      <c r="A19" s="796" t="str">
        <f>Datos!A19</f>
        <v>TOTAL JURISDICCIONES</v>
      </c>
      <c r="B19" s="811">
        <f>IF(ISNUMBER(NºAsuntos!G19/NºAsuntos!E19),NºAsuntos!G19/NºAsuntos!E19," - ")</f>
        <v>0.86926605504587151</v>
      </c>
      <c r="C19" s="812">
        <f>IF(ISNUMBER(NºAsuntos!I19/NºAsuntos!G19),NºAsuntos!I19/NºAsuntos!G19," - ")</f>
        <v>1.2420844327176781</v>
      </c>
      <c r="D19" s="813">
        <f>IF(ISNUMBER('Resol  Asuntos'!D19/NºAsuntos!G19),'Resol  Asuntos'!D19/NºAsuntos!G19," - ")</f>
        <v>0.18403693931398418</v>
      </c>
      <c r="E19" s="814">
        <f>IF(ISNUMBER((NºAsuntos!C19+NºAsuntos!E19)/NºAsuntos!G19),(NºAsuntos!C19+NºAsuntos!E19)/NºAsuntos!G19," - ")</f>
        <v>2.2376868953386104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6yty4ykoflF5OaPsFkd+/xUq2JOfPhR4fVkFU2Rlv5hYZtfJwfnGy9UjQeCi2Cs115W+Ndl6gvgLghGWoAh0Dw==" saltValue="/zBrak9WwXweOBF0UMOp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DENIA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688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325</v>
      </c>
      <c r="Y9" s="337">
        <f>SUM(W9:X9)</f>
        <v>325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9031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465</v>
      </c>
      <c r="AJ9" s="232" t="str">
        <f>IF(ISNUMBER(Datos!BW9),Datos!BW9," - ")</f>
        <v xml:space="preserve"> - </v>
      </c>
      <c r="AK9" s="231" t="str">
        <f>IF(ISNUMBER(Datos!BX9),Datos!BX9," - ")</f>
        <v xml:space="preserve"> - </v>
      </c>
      <c r="AL9" s="246">
        <f>IF(ISNUMBER(NºAsuntos!G9/NºAsuntos!E9),NºAsuntos!G9/NºAsuntos!E9," - ")</f>
        <v>0.84773060029282576</v>
      </c>
      <c r="AM9" s="263">
        <f>IF(ISNUMBER(((NºAsuntos!I9/NºAsuntos!G9)*11)/factor_trimestre),((NºAsuntos!I9/NºAsuntos!G9)*11)/factor_trimestre," - ")</f>
        <v>3.9119170984455955</v>
      </c>
      <c r="AN9" s="247">
        <f>IF(ISNUMBER('Resol  Asuntos'!D9/NºAsuntos!G9),'Resol  Asuntos'!D9/NºAsuntos!G9," - ")</f>
        <v>0.20077720207253885</v>
      </c>
      <c r="AO9" s="248">
        <f>IF(ISNUMBER((NºAsuntos!C9+NºAsuntos!E9)/NºAsuntos!G9),(NºAsuntos!C9+NºAsuntos!E9)/NºAsuntos!G9," - ")</f>
        <v>2.3035405872193437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3</v>
      </c>
      <c r="Y10" s="337">
        <f t="shared" ref="Y10:Y12" si="0">SUM(W10:X10)</f>
        <v>41</v>
      </c>
      <c r="Z10" s="338" t="str">
        <f>IF(ISNUMBER(Datos!CC10),Datos!CC10," - ")</f>
        <v xml:space="preserve"> - </v>
      </c>
      <c r="AA10" s="335">
        <f>IF(ISNUMBER(Datos!L10),Datos!L10,"-")</f>
        <v>74</v>
      </c>
      <c r="AB10" s="337">
        <f>IF(ISNUMBER(Datos!R10),Datos!R10," - ")</f>
        <v>30</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0.84444444444444444</v>
      </c>
      <c r="AM10" s="263">
        <f>IF(ISNUMBER(((NºAsuntos!I10/NºAsuntos!G10)*11)/factor_trimestre),((NºAsuntos!I10/NºAsuntos!G10)*11)/factor_trimestre," - ")</f>
        <v>5.8421052631578956</v>
      </c>
      <c r="AN10" s="247">
        <f>IF(ISNUMBER('Resol  Asuntos'!D10/NºAsuntos!G10),'Resol  Asuntos'!D10/NºAsuntos!G10," - ")</f>
        <v>0.5</v>
      </c>
      <c r="AO10" s="248">
        <f>IF(ISNUMBER((NºAsuntos!C10+NºAsuntos!E10)/NºAsuntos!G10),(NºAsuntos!C10+NºAsuntos!E10)/NºAsuntos!G10," - ")</f>
        <v>2.9473684210526314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67</v>
      </c>
      <c r="G13" s="869">
        <f t="shared" si="3"/>
        <v>67</v>
      </c>
      <c r="H13" s="868">
        <f t="shared" si="3"/>
        <v>0</v>
      </c>
      <c r="I13" s="870">
        <f t="shared" si="3"/>
        <v>0</v>
      </c>
      <c r="J13" s="870">
        <f t="shared" si="3"/>
        <v>0</v>
      </c>
      <c r="K13" s="870">
        <f t="shared" si="3"/>
        <v>0</v>
      </c>
      <c r="L13" s="870">
        <f t="shared" si="3"/>
        <v>693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328</v>
      </c>
      <c r="Y13" s="871">
        <f t="shared" si="4"/>
        <v>366</v>
      </c>
      <c r="Z13" s="871">
        <f t="shared" si="4"/>
        <v>0</v>
      </c>
      <c r="AA13" s="871">
        <f t="shared" si="4"/>
        <v>74</v>
      </c>
      <c r="AB13" s="871">
        <f t="shared" si="4"/>
        <v>9061</v>
      </c>
      <c r="AC13" s="871">
        <f t="shared" si="4"/>
        <v>104</v>
      </c>
      <c r="AD13" s="871">
        <f t="shared" si="4"/>
        <v>0</v>
      </c>
      <c r="AE13" s="875">
        <f t="shared" si="4"/>
        <v>0</v>
      </c>
      <c r="AF13" s="868">
        <f t="shared" si="4"/>
        <v>0</v>
      </c>
      <c r="AG13" s="876">
        <f t="shared" si="4"/>
        <v>0</v>
      </c>
      <c r="AH13" s="873">
        <f t="shared" si="4"/>
        <v>0</v>
      </c>
      <c r="AI13" s="868">
        <f t="shared" si="4"/>
        <v>484</v>
      </c>
      <c r="AJ13" s="870">
        <f t="shared" si="4"/>
        <v>0</v>
      </c>
      <c r="AK13" s="873">
        <f>SUBTOTAL(9,AK9:AK12)</f>
        <v>0</v>
      </c>
      <c r="AL13" s="877">
        <f>IF(ISNUMBER(NºAsuntos!G13/NºAsuntos!E13),NºAsuntos!G13/NºAsuntos!E13," - ")</f>
        <v>0.8476773496579042</v>
      </c>
      <c r="AM13" s="877">
        <f>IF(ISNUMBER(((NºAsuntos!I13/NºAsuntos!G13)*11)/factor_trimestre),((NºAsuntos!I13/NºAsuntos!G13)*11)/factor_trimestre," - ")</f>
        <v>3.9430756159728122</v>
      </c>
      <c r="AN13" s="878">
        <f>IF(ISNUMBER('Resol  Asuntos'!D13/NºAsuntos!G13),'Resol  Asuntos'!D13/NºAsuntos!G13," - ")</f>
        <v>0.20560747663551401</v>
      </c>
      <c r="AO13" s="879">
        <f>IF(ISNUMBER((NºAsuntos!C13+NºAsuntos!E13)/NºAsuntos!G13),(NºAsuntos!C13+NºAsuntos!E13)/NºAsuntos!G13," - ")</f>
        <v>2.3139337298215801</v>
      </c>
      <c r="AP13" s="880" t="str">
        <f t="shared" si="2"/>
        <v xml:space="preserve"> - </v>
      </c>
      <c r="AQ13" s="880">
        <f>IF(ISNUMBER((H13-W13+K13)/(F13)),(H13-W13+K13)/(F13)," - ")</f>
        <v>-0.56716417910447758</v>
      </c>
      <c r="AR13" s="881">
        <f>IF(ISNUMBER((Datos!P13-Datos!Q13)/(Datos!R13-Datos!P13+Datos!Q13)),(Datos!P13-Datos!Q13)/(Datos!R13-Datos!P13+Datos!Q13)," - ")</f>
        <v>4.1973321067157315E-2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2123</v>
      </c>
      <c r="G15" s="336">
        <f>IF(ISNUMBER(IF(D_I="SI",Datos!I15,Datos!I15+Datos!AC15)),IF(D_I="SI",Datos!I15,Datos!I15+Datos!AC15)," - ")</f>
        <v>2105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1887</v>
      </c>
      <c r="X15" s="229">
        <f>IF(ISNUMBER(Datos!Q15),Datos!Q15," - ")</f>
        <v>65</v>
      </c>
      <c r="Y15" s="337">
        <f>SUM(W15)</f>
        <v>1887</v>
      </c>
      <c r="Z15" s="338" t="str">
        <f>IF(ISNUMBER(Datos!CC15),Datos!CC15," - ")</f>
        <v xml:space="preserve"> - </v>
      </c>
      <c r="AA15" s="335">
        <f>IF(ISNUMBER(IF(D_I="SI",Datos!L15,Datos!L15+Datos!AF15)),IF(D_I="SI",Datos!L15,Datos!L15+Datos!AF15)," - ")</f>
        <v>2376</v>
      </c>
      <c r="AB15" s="337">
        <f>IF(ISNUMBER(Datos!R15),Datos!R15," - ")</f>
        <v>297</v>
      </c>
      <c r="AC15" s="337">
        <f t="shared" ref="AC15:AC17" si="6">IF(ISNUMBER(AA15+AB15),AA15+AB15," - ")</f>
        <v>2673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299</v>
      </c>
      <c r="AJ15" s="234" t="str">
        <f>IF(ISNUMBER(Datos!BW15),Datos!BW15," - ")</f>
        <v xml:space="preserve"> - </v>
      </c>
      <c r="AK15" s="235" t="str">
        <f>IF(ISNUMBER(Datos!BX15),Datos!BX15," - ")</f>
        <v xml:space="preserve"> - </v>
      </c>
      <c r="AL15" s="246">
        <f>IF(ISNUMBER(NºAsuntos!G15/NºAsuntos!E15),NºAsuntos!G15/NºAsuntos!E15," - ")</f>
        <v>0.88177570093457946</v>
      </c>
      <c r="AM15" s="263">
        <f>IF(ISNUMBER(((NºAsuntos!I15/NºAsuntos!G15)*11)/factor_trimestre),((NºAsuntos!I15/NºAsuntos!G15)*11)/factor_trimestre," - ")</f>
        <v>3.7774244833068362</v>
      </c>
      <c r="AN15" s="247">
        <f>IF(ISNUMBER('Resol  Asuntos'!D15/NºAsuntos!G15),'Resol  Asuntos'!D15/NºAsuntos!G15," - ")</f>
        <v>0.1584525702172761</v>
      </c>
      <c r="AO15" s="248">
        <f>IF(ISNUMBER((NºAsuntos!C15+NºAsuntos!E15)/NºAsuntos!G15),(NºAsuntos!C15+NºAsuntos!E15)/NºAsuntos!G15," - ")</f>
        <v>2.249602543720191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14</v>
      </c>
      <c r="G16" s="336">
        <f>IF(ISNUMBER(IF(D_I="SI",Datos!I16,Datos!I16+Datos!AC16)),IF(D_I="SI",Datos!I16,Datos!I16+Datos!AC16)," - ")</f>
        <v>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1</v>
      </c>
      <c r="Y16" s="337">
        <f t="shared" ref="Y16:Y17" si="7">SUM(W16:X16)</f>
        <v>1</v>
      </c>
      <c r="Z16" s="338" t="str">
        <f>IF(ISNUMBER(Datos!CC16),Datos!CC16," - ")</f>
        <v xml:space="preserve"> - </v>
      </c>
      <c r="AA16" s="335">
        <f>IF(ISNUMBER(IF(D_I="SI",Datos!L16,Datos!L16+Datos!AF16)),IF(D_I="SI",Datos!L16,Datos!L16+Datos!AF16)," - ")</f>
        <v>14</v>
      </c>
      <c r="AB16" s="337">
        <f>IF(ISNUMBER(Datos!R16),Datos!R16," - ")</f>
        <v>6</v>
      </c>
      <c r="AC16" s="337">
        <f t="shared" si="6"/>
        <v>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307</v>
      </c>
      <c r="X17" s="229">
        <f>IF(ISNUMBER(Datos!Q17),Datos!Q17," - ")</f>
        <v>8</v>
      </c>
      <c r="Y17" s="337">
        <f t="shared" si="7"/>
        <v>315</v>
      </c>
      <c r="Z17" s="338" t="str">
        <f>IF(ISNUMBER(Datos!CC17),Datos!CC17," - ")</f>
        <v xml:space="preserve"> - </v>
      </c>
      <c r="AA17" s="335">
        <f>IF(ISNUMBER(Datos!L17),Datos!L17,"-")</f>
        <v>165</v>
      </c>
      <c r="AB17" s="337">
        <f>IF(ISNUMBER(Datos!R17),Datos!R17," - ")</f>
        <v>16</v>
      </c>
      <c r="AC17" s="337">
        <f t="shared" si="6"/>
        <v>181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54</v>
      </c>
      <c r="AJ17" s="234" t="str">
        <f>IF(ISNUMBER(Datos!BW17),Datos!BW17," - ")</f>
        <v xml:space="preserve"> - </v>
      </c>
      <c r="AK17" s="235" t="str">
        <f>IF(ISNUMBER(Datos!BX17),Datos!BX17," - ")</f>
        <v xml:space="preserve"> - </v>
      </c>
      <c r="AL17" s="246">
        <f>IF(ISNUMBER(NºAsuntos!G17/NºAsuntos!E17),NºAsuntos!G17/NºAsuntos!E17," - ")</f>
        <v>0.97460317460317458</v>
      </c>
      <c r="AM17" s="263">
        <f>IF(ISNUMBER(((NºAsuntos!I17/NºAsuntos!G17)*11)/factor_trimestre),((NºAsuntos!I17/NºAsuntos!G17)*11)/factor_trimestre," - ")</f>
        <v>1.6123778501628667</v>
      </c>
      <c r="AN17" s="247">
        <f>IF(ISNUMBER('Resol  Asuntos'!D17/NºAsuntos!G17),'Resol  Asuntos'!D17/NºAsuntos!G17," - ")</f>
        <v>0.1758957654723127</v>
      </c>
      <c r="AO17" s="248">
        <f>IF(ISNUMBER((NºAsuntos!C17+NºAsuntos!E17)/NºAsuntos!G17),(NºAsuntos!C17+NºAsuntos!E17)/NºAsuntos!G17," - ")</f>
        <v>1.5276872964169381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2137</v>
      </c>
      <c r="G18" s="869">
        <f>SUBTOTAL(9,G15:G17)</f>
        <v>2275</v>
      </c>
      <c r="H18" s="868">
        <f t="shared" ref="H18:O18" si="10">SUBTOTAL(9,H14:H17)</f>
        <v>0</v>
      </c>
      <c r="I18" s="870">
        <f t="shared" si="10"/>
        <v>0</v>
      </c>
      <c r="J18" s="870">
        <f t="shared" si="10"/>
        <v>0</v>
      </c>
      <c r="K18" s="870">
        <f t="shared" si="10"/>
        <v>0</v>
      </c>
      <c r="L18" s="870">
        <f t="shared" si="10"/>
        <v>78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2194</v>
      </c>
      <c r="X18" s="870">
        <f t="shared" si="11"/>
        <v>74</v>
      </c>
      <c r="Y18" s="871">
        <f t="shared" si="11"/>
        <v>2203</v>
      </c>
      <c r="Z18" s="871">
        <f t="shared" si="11"/>
        <v>0</v>
      </c>
      <c r="AA18" s="871">
        <f t="shared" si="11"/>
        <v>2555</v>
      </c>
      <c r="AB18" s="871">
        <f t="shared" si="11"/>
        <v>319</v>
      </c>
      <c r="AC18" s="871">
        <f t="shared" si="11"/>
        <v>2874</v>
      </c>
      <c r="AD18" s="871">
        <f t="shared" si="11"/>
        <v>0</v>
      </c>
      <c r="AE18" s="875">
        <f t="shared" si="11"/>
        <v>0</v>
      </c>
      <c r="AF18" s="868">
        <f t="shared" si="11"/>
        <v>0</v>
      </c>
      <c r="AG18" s="876">
        <f t="shared" si="11"/>
        <v>0</v>
      </c>
      <c r="AH18" s="873">
        <f t="shared" si="11"/>
        <v>0</v>
      </c>
      <c r="AI18" s="868">
        <f t="shared" si="11"/>
        <v>353</v>
      </c>
      <c r="AJ18" s="870">
        <f t="shared" si="11"/>
        <v>0</v>
      </c>
      <c r="AK18" s="873">
        <f t="shared" si="11"/>
        <v>0</v>
      </c>
      <c r="AL18" s="877">
        <f>IF(ISNUMBER(NºAsuntos!G18/NºAsuntos!E18),NºAsuntos!G18/NºAsuntos!E18," - ")</f>
        <v>0.89368635437881871</v>
      </c>
      <c r="AM18" s="877">
        <f>IF(ISNUMBER(((NºAsuntos!I18/NºAsuntos!G18)*11)/factor_trimestre),((NºAsuntos!I18/NºAsuntos!G18)*11)/factor_trimestre," - ")</f>
        <v>3.4936189608021881</v>
      </c>
      <c r="AN18" s="878">
        <f>IF(ISNUMBER('Resol  Asuntos'!D18/NºAsuntos!G18),'Resol  Asuntos'!D18/NºAsuntos!G18," - ")</f>
        <v>0.16089334548769371</v>
      </c>
      <c r="AO18" s="879">
        <f>IF(ISNUMBER((NºAsuntos!C18+NºAsuntos!E18)/NºAsuntos!G18),(NºAsuntos!C18+NºAsuntos!E18)/NºAsuntos!G18," - ")</f>
        <v>2.1558796718322699</v>
      </c>
      <c r="AP18" s="880" t="str">
        <f t="shared" si="2"/>
        <v xml:space="preserve"> - </v>
      </c>
      <c r="AQ18" s="880">
        <f>IF(ISNUMBER((H18-W18+K18)/(F18)),(H18-W18+K18)/(F18)," - ")</f>
        <v>-1.0266729059429107</v>
      </c>
      <c r="AR18" s="881">
        <f>IF(ISNUMBER((Datos!P18-Datos!Q18)/(Datos!R18-Datos!P18+Datos!Q18)),(Datos!P18-Datos!Q18)/(Datos!R18-Datos!P18+Datos!Q18)," - ")</f>
        <v>1.2698412698412698E-2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2204</v>
      </c>
      <c r="G19" s="824">
        <f t="shared" si="13"/>
        <v>2342</v>
      </c>
      <c r="H19" s="823">
        <f t="shared" si="13"/>
        <v>0</v>
      </c>
      <c r="I19" s="825">
        <f t="shared" si="13"/>
        <v>0</v>
      </c>
      <c r="J19" s="825">
        <f t="shared" si="13"/>
        <v>0</v>
      </c>
      <c r="K19" s="884">
        <f t="shared" si="13"/>
        <v>0</v>
      </c>
      <c r="L19" s="825">
        <f t="shared" si="13"/>
        <v>771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2232</v>
      </c>
      <c r="X19" s="824">
        <f t="shared" si="14"/>
        <v>402</v>
      </c>
      <c r="Y19" s="831">
        <f t="shared" si="14"/>
        <v>2569</v>
      </c>
      <c r="Z19" s="831">
        <f t="shared" si="14"/>
        <v>0</v>
      </c>
      <c r="AA19" s="831">
        <f t="shared" si="14"/>
        <v>2629</v>
      </c>
      <c r="AB19" s="831">
        <f t="shared" si="14"/>
        <v>9380</v>
      </c>
      <c r="AC19" s="831">
        <f t="shared" si="14"/>
        <v>2978</v>
      </c>
      <c r="AD19" s="831">
        <f t="shared" si="14"/>
        <v>0</v>
      </c>
      <c r="AE19" s="833">
        <f t="shared" si="14"/>
        <v>0</v>
      </c>
      <c r="AF19" s="834">
        <f t="shared" si="14"/>
        <v>0</v>
      </c>
      <c r="AG19" s="835">
        <f t="shared" si="14"/>
        <v>0</v>
      </c>
      <c r="AH19" s="833">
        <f t="shared" si="14"/>
        <v>0</v>
      </c>
      <c r="AI19" s="823">
        <f t="shared" si="14"/>
        <v>837</v>
      </c>
      <c r="AJ19" s="823">
        <f t="shared" si="14"/>
        <v>0</v>
      </c>
      <c r="AK19" s="833">
        <f t="shared" si="14"/>
        <v>0</v>
      </c>
      <c r="AL19" s="887">
        <f>IF(ISNUMBER(NºAsuntos!G19/NºAsuntos!E19),NºAsuntos!G19/NºAsuntos!E19," - ")</f>
        <v>0.86926605504587151</v>
      </c>
      <c r="AM19" s="888">
        <f>IF(ISNUMBER(((NºAsuntos!I19/NºAsuntos!G19)*11)/factor_trimestre),((NºAsuntos!I19/NºAsuntos!G19)*11)/factor_trimestre," - ")</f>
        <v>3.7262532981530345</v>
      </c>
      <c r="AN19" s="888">
        <f>IF(ISNUMBER('Resol  Asuntos'!D19/NºAsuntos!G19),'Resol  Asuntos'!D19/NºAsuntos!G19," - ")</f>
        <v>0.18403693931398418</v>
      </c>
      <c r="AO19" s="889">
        <f>IF(ISNUMBER((NºAsuntos!C19+NºAsuntos!E19)/NºAsuntos!G19),(NºAsuntos!C19+NºAsuntos!E19)/NºAsuntos!G19," - ")</f>
        <v>2.2376868953386104</v>
      </c>
      <c r="AP19" s="890" t="str">
        <f t="shared" si="2"/>
        <v xml:space="preserve"> - </v>
      </c>
      <c r="AQ19" s="891">
        <f>IF(OR(ISNUMBER(FIND("01",Criterios!A8,1)),ISNUMBER(FIND("02",Criterios!A8,1)),ISNUMBER(FIND("03",Criterios!A8,1)),ISNUMBER(FIND("04",Criterios!A8,1))),(I19-W19+K19)/(F19-K19),(H19-W19+K19)/(F19-K19))</f>
        <v>-1.0127041742286751</v>
      </c>
      <c r="AR19" s="892">
        <f>IF(ISNUMBER((Datos!P19-Datos!Q19)/(Datos!R19-Datos!P19+Datos!Q19)),(Datos!P19-Datos!Q19)/(Datos!R19-Datos!P19+Datos!Q19)," - ")</f>
        <v>4.0949950061036508E-2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780.66666666666663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2.6977356760397742</v>
      </c>
      <c r="F21" s="255">
        <f>IF(ISNUMBER(STDEV(F8:F18)),STDEV(F8:F18),"-")</f>
        <v>1139.844199879966</v>
      </c>
      <c r="G21" s="256">
        <f>IF(ISNUMBER(STDEV(G8:G18)),STDEV(G8:G18),"-")</f>
        <v>1093.8882331694892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1014.921277735372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211.12510396399932</v>
      </c>
      <c r="AJ21" s="255">
        <f t="shared" si="18"/>
        <v>0</v>
      </c>
      <c r="AK21" s="257">
        <f t="shared" si="18"/>
        <v>0</v>
      </c>
      <c r="AL21" s="252">
        <f t="shared" si="18"/>
        <v>4.9948177657358456E-2</v>
      </c>
      <c r="AM21" s="253">
        <f t="shared" si="18"/>
        <v>1.3472365054843121</v>
      </c>
      <c r="AN21" s="253">
        <f t="shared" si="18"/>
        <v>0.13197958160870074</v>
      </c>
      <c r="AO21" s="254">
        <f t="shared" si="18"/>
        <v>0.4525197472704437</v>
      </c>
      <c r="AP21" s="294" t="str">
        <f t="shared" si="18"/>
        <v>-</v>
      </c>
      <c r="AQ21" s="295">
        <f t="shared" si="18"/>
        <v>0.32492173676185276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RsNVhKM5DGWLfmah0UnU+1+uZaaJkrgQ3NY8DOG4RkiogjALF70EG2nZStGmZGnDfHV61bbF9rKVA+7tWS5zFQ==" saltValue="rBjs7HpTEXtUCNYR8rCL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DENIA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-9.8837209302325577E-2</v>
      </c>
      <c r="I9" s="353">
        <f>IF(ISNUMBER((Tasas!C9-Datos!BE9)/Datos!BE9),(Tasas!C9-Datos!BE9)/Datos!BE9," - ")</f>
        <v>0.12959802228317913</v>
      </c>
      <c r="J9" s="352">
        <f>IF(ISNUMBER((Tasas!D9-Datos!BF9)/Datos!BF9),(Tasas!D9-Datos!BF9)/Datos!BF9," - ")</f>
        <v>-0.52666292488982036</v>
      </c>
      <c r="K9" s="354">
        <f>IF(ISNUMBER((Tasas!E9-Datos!BG9)/Datos!BG9),(Tasas!E9-Datos!BG9)/Datos!BG9," - ")</f>
        <v>6.924168043024391E-2</v>
      </c>
      <c r="M9" t="e">
        <f>IF(Monitorios="SI",Datos!CE9,0)</f>
        <v>#REF!</v>
      </c>
      <c r="N9" t="e">
        <f>IF(Monitorios="SI",Datos!CF9,0)</f>
        <v>#REF!</v>
      </c>
      <c r="O9" t="e">
        <f>IF(Monitorios="SI",Datos!CG9,0)</f>
        <v>#REF!</v>
      </c>
      <c r="P9" t="e">
        <f>IF(Monitorios="SI",Datos!CH9,0)</f>
        <v>#REF!</v>
      </c>
      <c r="Q9">
        <f>IF(J_V="SI",0,Datos!AG9)</f>
        <v>101</v>
      </c>
      <c r="R9">
        <f>IF(J_V="SI",0,Datos!AH9)</f>
        <v>224</v>
      </c>
      <c r="S9">
        <f>IF(J_V="SI",0,Datos!AI9)</f>
        <v>220</v>
      </c>
      <c r="T9">
        <f>IF(J_V="SI",0,Datos!AJ9)</f>
        <v>105</v>
      </c>
    </row>
    <row r="10" spans="2:20" ht="14.25">
      <c r="B10" s="278" t="s">
        <v>249</v>
      </c>
      <c r="C10" s="7" t="str">
        <f>Datos!A10</f>
        <v>Jdos. Violencia contra la mujer</v>
      </c>
      <c r="D10" s="355">
        <f>IF(ISNUMBER((Datos!I10-Datos!S10)/Datos!S10),(Datos!I10-Datos!S10)/Datos!S10," - ")</f>
        <v>-0.26373626373626374</v>
      </c>
      <c r="E10" s="351">
        <f>IF(ISNUMBER((Datos!J10-Datos!T10)/Datos!T10),(Datos!J10-Datos!T10)/Datos!T10," - ")</f>
        <v>0.5</v>
      </c>
      <c r="F10" s="351">
        <f>IF(ISNUMBER((Datos!K10-Datos!U10)/Datos!U10),(Datos!K10-Datos!U10)/Datos!U10," - ")</f>
        <v>0.58333333333333337</v>
      </c>
      <c r="G10" s="352">
        <f>IF(ISNUMBER((Datos!L10-Datos!V10)/Datos!V10),(Datos!L10-Datos!V10)/Datos!V10," - ")</f>
        <v>-0.23711340206185566</v>
      </c>
      <c r="H10" s="233">
        <f>IF(ISNUMBER((Datos!M10-Datos!W10)/Datos!W10),(Datos!M10-Datos!W10)/Datos!W10," - ")</f>
        <v>2.1666666666666665</v>
      </c>
      <c r="I10" s="353">
        <f>IF(ISNUMBER((Tasas!C10-Datos!BE10)/Datos!BE10),(Tasas!C10-Datos!BE10)/Datos!BE10," - ")</f>
        <v>-0.51817688551275087</v>
      </c>
      <c r="J10" s="352">
        <f>IF(ISNUMBER((Tasas!D10-Datos!BF10)/Datos!BF10),(Tasas!D10-Datos!BF10)/Datos!BF10," - ")</f>
        <v>1</v>
      </c>
      <c r="K10" s="354">
        <f>IF(ISNUMBER((Tasas!E10-Datos!BG10)/Datos!BG10),(Tasas!E10-Datos!BG10)/Datos!BG10," - ")</f>
        <v>-0.41539799913005659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-7.2796934865900387E-2</v>
      </c>
      <c r="I13" s="360">
        <f>IF(ISNUMBER((Tasas!C13-Datos!BE13)/Datos!BE13),(Tasas!C13-Datos!BE13)/Datos!BE13," - ")</f>
        <v>0.10878829498391752</v>
      </c>
      <c r="J13" s="358">
        <f>IF(ISNUMBER((Tasas!D13-Datos!BF13)/Datos!BF13),(Tasas!D13-Datos!BF13)/Datos!BF13," - ")</f>
        <v>-0.51312672817910632</v>
      </c>
      <c r="K13" s="361">
        <f>IF(ISNUMBER((Tasas!E13-Datos!BG13)/Datos!BG13),(Tasas!E13-Datos!BG13)/Datos!BG13," - ")</f>
        <v>5.8814348092538687E-2</v>
      </c>
      <c r="M13" t="e">
        <f>IF(Monitorios="SI",Datos!CE13,0)</f>
        <v>#REF!</v>
      </c>
      <c r="N13" t="e">
        <f>IF(Monitorios="SI",Datos!CF13,0)</f>
        <v>#REF!</v>
      </c>
      <c r="O13" t="e">
        <f>IF(Monitorios="SI",Datos!CG13,0)</f>
        <v>#REF!</v>
      </c>
      <c r="P13" t="e">
        <f>IF(Monitorios="SI",Datos!CH13,0)</f>
        <v>#REF!</v>
      </c>
      <c r="Q13">
        <f>IF(J_V="SI",0,Datos!AG13)</f>
        <v>101</v>
      </c>
      <c r="R13">
        <f>IF(J_V="SI",0,Datos!AH13)</f>
        <v>224</v>
      </c>
      <c r="S13">
        <f>IF(J_V="SI",0,Datos!AI13)</f>
        <v>220</v>
      </c>
      <c r="T13">
        <f>IF(J_V="SI",0,Datos!AJ13)</f>
        <v>105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0.19061085972850678</v>
      </c>
      <c r="E15" s="351">
        <f>IF(ISNUMBER(
   IF(D_I="SI",(Datos!J15-Datos!T15)/Datos!T15,(Datos!J15+Datos!AD15-(Datos!T15+Datos!AL15))/(Datos!T15+Datos!AL15))
     ),IF(D_I="SI",(Datos!J15-Datos!T15)/Datos!T15,(Datos!J15+Datos!AD15-(Datos!T15+Datos!AL15))/(Datos!T15+Datos!AL15))," - ")</f>
        <v>0.171960569550931</v>
      </c>
      <c r="F15" s="351">
        <f>IF(ISNUMBER(
   IF(D_I="SI",(Datos!K15-Datos!U15)/Datos!U15,(Datos!K15+Datos!AE15-(Datos!U15+Datos!AM15))/(Datos!U15+Datos!AM15))
     ),IF(D_I="SI",(Datos!K15-Datos!U15)/Datos!U15,(Datos!K15+Datos!AE15-(Datos!U15+Datos!AM15))/(Datos!U15+Datos!AM15))," - ")</f>
        <v>4.2541436464088395E-2</v>
      </c>
      <c r="G15" s="352">
        <f>IF(ISNUMBER(
   IF(D_I="SI",(Datos!L15-Datos!V15)/Datos!V15,(Datos!L15+Datos!AF15-(Datos!V15+Datos!AN15))/(Datos!V15+Datos!AN15))
     ),IF(D_I="SI",(Datos!L15-Datos!V15)/Datos!V15,(Datos!L15+Datos!AF15-(Datos!V15+Datos!AN15))/(Datos!V15+Datos!AN15))," - ")</f>
        <v>0.31198233020430699</v>
      </c>
      <c r="H15" s="233">
        <f>IF(ISNUMBER((Datos!M15-Datos!W15)/Datos!W15),(Datos!M15-Datos!W15)/Datos!W15," - ")</f>
        <v>0.10332103321033211</v>
      </c>
      <c r="I15" s="353">
        <f>IF(ISNUMBER((Tasas!C15-Datos!BE15)/Datos!BE15),(Tasas!C15-Datos!BE15)/Datos!BE15," - ")</f>
        <v>0.25844622028076097</v>
      </c>
      <c r="J15" s="352">
        <f>IF(ISNUMBER((Tasas!D15-Datos!BF15)/Datos!BF15),(Tasas!D15-Datos!BF15)/Datos!BF15," - ")</f>
        <v>5.8299454218707608E-2</v>
      </c>
      <c r="K15" s="354">
        <f>IF(ISNUMBER((Tasas!E15-Datos!BG15)/Datos!BG15),(Tasas!E15-Datos!BG15)/Datos!BG15," - ")</f>
        <v>0.13293839847900549</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-0.125</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0.12408759124087591</v>
      </c>
      <c r="E17" s="351">
        <f>IF(ISNUMBER(
   IF(D_I="SI",(Datos!J17-Datos!T17)/Datos!T17,(Datos!J17+Datos!AD17-(Datos!T17+Datos!AL17))/(Datos!T17+Datos!AL17))
     ),IF(D_I="SI",(Datos!J17-Datos!T17)/Datos!T17,(Datos!J17+Datos!AD17-(Datos!T17+Datos!AL17))/(Datos!T17+Datos!AL17))," - ")</f>
        <v>9.6153846153846159E-3</v>
      </c>
      <c r="F17" s="351">
        <f>IF(ISNUMBER(
   IF(D_I="SI",(Datos!K17-Datos!U17)/Datos!U17,(Datos!K17+Datos!AE17-(Datos!U17+Datos!AM17))/(Datos!U17+Datos!AM17))
     ),IF(D_I="SI",(Datos!K17-Datos!U17)/Datos!U17,(Datos!K17+Datos!AE17-(Datos!U17+Datos!AM17))/(Datos!U17+Datos!AM17))," - ")</f>
        <v>0.14981273408239701</v>
      </c>
      <c r="G17" s="352">
        <f>IF(ISNUMBER(
   IF(D_I="SI",(Datos!L17-Datos!V17)/Datos!V17,(Datos!L17+Datos!AF17-(Datos!V17+Datos!AN17))/(Datos!V17+Datos!AN17))
     ),IF(D_I="SI",(Datos!L17-Datos!V17)/Datos!V17,(Datos!L17+Datos!AF17-(Datos!V17+Datos!AN17))/(Datos!V17+Datos!AN17))," - ")</f>
        <v>-9.3406593406593408E-2</v>
      </c>
      <c r="H17" s="233">
        <f>IF(ISNUMBER((Datos!M17-Datos!W17)/Datos!W17),(Datos!M17-Datos!W17)/Datos!W17," - ")</f>
        <v>-0.1</v>
      </c>
      <c r="I17" s="353">
        <f>IF(ISNUMBER((Tasas!C17-Datos!BE17)/Datos!BE17),(Tasas!C17-Datos!BE17)/Datos!BE17," - ")</f>
        <v>-0.21152951283244439</v>
      </c>
      <c r="J17" s="352">
        <f>IF(ISNUMBER((Tasas!D17-Datos!BF17)/Datos!BF17),(Tasas!D17-Datos!BF17)/Datos!BF17," - ")</f>
        <v>-0.21726384364820847</v>
      </c>
      <c r="K17" s="354">
        <f>IF(ISNUMBER((Tasas!E17-Datos!BG17)/Datos!BG17),(Tasas!E17-Datos!BG17)/Datos!BG17," - ")</f>
        <v>-9.1553433979237306E-2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0.18427902134305049</v>
      </c>
      <c r="E18" s="357">
        <f>IF(ISNUMBER(
   IF(D_I="SI",(Datos!J18-Datos!T18)/Datos!T18,(Datos!J18+Datos!AD18-(Datos!T18+Datos!AL18))/(Datos!T18+Datos!AL18))
     ),IF(D_I="SI",(Datos!J18-Datos!T18)/Datos!T18,(Datos!J18+Datos!AD18-(Datos!T18+Datos!AL18))/(Datos!T18+Datos!AL18))," - ")</f>
        <v>0.14826941066417212</v>
      </c>
      <c r="F18" s="357">
        <f>IF(ISNUMBER(
   IF(D_I="SI",(Datos!K18-Datos!U18)/Datos!U18,(Datos!K18+Datos!AE18-(Datos!U18+Datos!AM18))/(Datos!U18+Datos!AM18))
     ),IF(D_I="SI",(Datos!K18-Datos!U18)/Datos!U18,(Datos!K18+Datos!AE18-(Datos!U18+Datos!AM18))/(Datos!U18+Datos!AM18))," - ")</f>
        <v>5.6331246990852193E-2</v>
      </c>
      <c r="G18" s="358">
        <f>IF(ISNUMBER(
   IF(D_I="SI",(Datos!L18-Datos!V18)/Datos!V18,(Datos!L18+Datos!AF18-(Datos!V18+Datos!AN18))/(Datos!V18+Datos!AN18))
     ),IF(D_I="SI",(Datos!L18-Datos!V18)/Datos!V18,(Datos!L18+Datos!AF18-(Datos!V18+Datos!AN18))/(Datos!V18+Datos!AN18))," - ")</f>
        <v>0.27177700348432055</v>
      </c>
      <c r="H18" s="359">
        <f>IF(ISNUMBER((Datos!M18-Datos!W18)/Datos!W18),(Datos!M18-Datos!W18)/Datos!W18," - ")</f>
        <v>6.6465256797583083E-2</v>
      </c>
      <c r="I18" s="360">
        <f>IF(ISNUMBER((Tasas!C18-Datos!BE18)/Datos!BE18),(Tasas!C18-Datos!BE18)/Datos!BE18," - ")</f>
        <v>0.20395662544983317</v>
      </c>
      <c r="J18" s="358">
        <f>IF(ISNUMBER((Tasas!D18-Datos!BF18)/Datos!BF18),(Tasas!D18-Datos!BF18)/Datos!BF18," - ")</f>
        <v>9.5935908699088194E-3</v>
      </c>
      <c r="K18" s="361">
        <f>IF(ISNUMBER((Tasas!E18-Datos!BG18)/Datos!BG18),(Tasas!E18-Datos!BG18)/Datos!BG18," - ")</f>
        <v>0.1031687800925412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4.5896785109983081E-2</v>
      </c>
      <c r="E19" s="366">
        <f>IF(ISNUMBER(
   IF(J_V="SI",(Datos!J19-Datos!T19)/Datos!T19,(Datos!J19+Datos!Z19-(Datos!T19+Datos!AH19))/(Datos!T19+Datos!AH19))
     ),IF(J_V="SI",(Datos!J19-Datos!T19)/Datos!T19,(Datos!J19+Datos!Z19-(Datos!T19+Datos!AH19))/(Datos!T19+Datos!AH19))," - ")</f>
        <v>0.24246022322488719</v>
      </c>
      <c r="F19" s="366">
        <f>IF(ISNUMBER(
   IF(J_V="SI",(Datos!K19-Datos!U19)/Datos!U19,(Datos!K19+Datos!AA19-(Datos!U19+Datos!AI19))/(Datos!U19+Datos!AI19))
     ),IF(J_V="SI",(Datos!K19-Datos!U19)/Datos!U19,(Datos!K19+Datos!AA19-(Datos!U19+Datos!AI19))/(Datos!U19+Datos!AI19))," - ")</f>
        <v>5.5220417633410672E-2</v>
      </c>
      <c r="G19" s="367">
        <f>IF(ISNUMBER(
   IF(J_V="SI",(Datos!L19-Datos!V19)/Datos!V19,(Datos!L19+Datos!AB19-(Datos!V19+Datos!AJ19))/(Datos!V19+Datos!AJ19))
     ),IF(J_V="SI",(Datos!L19-Datos!V19)/Datos!V19,(Datos!L19+Datos!AB19-(Datos!V19+Datos!AJ19))/(Datos!V19+Datos!AJ19))," - ")</f>
        <v>0.21327319587628865</v>
      </c>
      <c r="H19" s="368">
        <f>IF(ISNUMBER((Datos!M19-Datos!W19)/Datos!W19),(Datos!M19-Datos!W19)/Datos!W19," - ")</f>
        <v>-1.8757327080890972E-2</v>
      </c>
      <c r="I19" s="365">
        <f>IF(ISNUMBER((Tasas!C19-Datos!BE19)/Datos!BE19),(Tasas!C19-Datos!BE19)/Datos!BE19," - ")</f>
        <v>0.14978176654063402</v>
      </c>
      <c r="J19" s="366">
        <f>IF(ISNUMBER((Tasas!D19-Datos!BF19)/Datos!BF19),(Tasas!D19-Datos!BF19)/Datos!BF19," - ")</f>
        <v>-0.37739465585300486</v>
      </c>
      <c r="K19" s="367">
        <f>IF(ISNUMBER((Tasas!E19-Datos!BG19)/Datos!BG19),(Tasas!E19-Datos!BG19)/Datos!BG19," - ")</f>
        <v>7.8916044178253764E-2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0.18985396981670172</v>
      </c>
      <c r="E21" s="281">
        <f t="shared" si="1"/>
        <v>0.20775456582036253</v>
      </c>
      <c r="F21" s="281">
        <f t="shared" si="1"/>
        <v>0.25471606141276565</v>
      </c>
      <c r="G21" s="282">
        <f t="shared" si="1"/>
        <v>0.24923844283053911</v>
      </c>
      <c r="H21" s="288">
        <f t="shared" si="1"/>
        <v>0.8971093627458262</v>
      </c>
      <c r="I21" s="280">
        <f t="shared" si="1"/>
        <v>0.30004531193681944</v>
      </c>
      <c r="J21" s="281">
        <f t="shared" si="1"/>
        <v>0.56309922819813596</v>
      </c>
      <c r="K21" s="282">
        <f t="shared" si="1"/>
        <v>0.20693448344803655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kp5t0nn9it9llCr7FEjiQnXnk3971W+7YO+m0MQ/tv0hqXJ3lfUz/PyLq/TdzlKa+aPtvgn+qtSfi36VYMYfg==" saltValue="0oytMvtlF0jB5rDXffNy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